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35" activeTab="0"/>
  </bookViews>
  <sheets>
    <sheet name="31-12-2010" sheetId="1" r:id="rId1"/>
  </sheets>
  <definedNames>
    <definedName name="_xlnm.Print_Area" localSheetId="0">'31-12-2010'!$A$1:$C$44,'31-12-2010'!$A$46:$C$121,'31-12-2010'!$A$123:$C$151,'31-12-2010'!$A$153:$C$232</definedName>
  </definedNames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<sst xmlns="http://schemas.openxmlformats.org/spreadsheetml/2006/main" count="197" uniqueCount="136">
  <si>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</si>
  <si>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</si>
  <si>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</si>
  <si>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</si>
  <si>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</si>
  <si>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</si>
  <si>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</si>
  <si>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</si>
  <si>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</si>
  <si>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</si>
  <si>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</si>
  <si>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</si>
  <si>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</si>
  <si>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</si>
  <si>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</si>
  <si>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</si>
  <si>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</si>
  <si>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</si>
  <si>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</si>
  <si>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</si>
  <si>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</si>
  <si>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</si>
  <si>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</si>
  <si>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</si>
  <si>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</si>
  <si>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</si>
  <si>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</si>
  <si>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</si>
  <si>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</si>
  <si>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</si>
  <si>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</si>
  <si>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</si>
  <si>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</si>
  <si>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</si>
  <si>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</si>
  <si>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</si>
  <si>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</si>
  <si>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</si>
  <si>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</si>
  <si>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</si>
  <si>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</si>
  <si>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</si>
  <si>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</si>
  <si>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</si>
  <si>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</si>
  <si>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</si>
  <si>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</si>
  <si>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</si>
  <si>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</si>
  <si>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</si>
  <si>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</si>
  <si>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</si>
  <si>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</si>
  <si>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</si>
  <si>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</si>
  <si>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</si>
  <si>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</si>
  <si>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</si>
  <si>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</si>
  <si>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</si>
  <si>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</si>
  <si>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</si>
  <si>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</si>
  <si>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</si>
  <si>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</si>
  <si>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</si>
  <si>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</si>
  <si>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</si>
  <si>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</si>
  <si>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</si>
  <si>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</si>
  <si>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</si>
  <si>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</si>
  <si>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</si>
  <si>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</si>
  <si>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</si>
  <si>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</si>
  <si>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</si>
  <si>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</si>
  <si>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</si>
  <si>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</si>
  <si>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</si>
  <si>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</si>
  <si>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</si>
  <si>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</si>
  <si>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</si>
  <si>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</si>
  <si>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</si>
  <si>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</si>
  <si>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</si>
  <si>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</si>
  <si>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</si>
  <si>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</si>
  <si>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</si>
  <si>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</si>
  <si>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</si>
  <si>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</si>
  <si>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</si>
  <si>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</si>
  <si>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</si>
  <si>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</si>
  <si>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</si>
  <si>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</si>
  <si>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</si>
  <si>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</si>
  <si>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</si>
  <si>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</si>
  <si>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</si>
  <si>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</si>
  <si>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</si>
  <si>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</si>
  <si>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</si>
  <si>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</si>
  <si>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</si>
  <si>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</si>
  <si>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</si>
  <si>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</si>
  <si>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</si>
  <si>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</si>
  <si>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</si>
  <si>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</si>
  <si>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</si>
  <si>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</si>
  <si>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</si>
  <si>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</si>
  <si>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</si>
  <si>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</si>
  <si>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</si>
  <si>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</si>
  <si>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</si>
  <si>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           ΠΕΤΡΟΣ  Μ. ΣΙΡΑΓΑΣ                                     ΝΙΚΟΛΑΟΣ ΧΑΛΚΙΟΠΟΥΛΟΣ</t>
  </si>
  <si>
    <t xml:space="preserve">Ο ΟΙΚΟΝΟΜΙΚΟΣ ΔΙΕΥΘΥΝΤΗΣ                                      Ο ΑΝΑΛΟΓΙΣΤΗΣ  </t>
  </si>
  <si>
    <t xml:space="preserve">                ΑΔΤ. Φ 133520                                                       ΑΔΤ.  ΑΗ 105272</t>
  </si>
  <si>
    <t>ΣΥΝΟΠΤΙΚΗ ΟΙΚΟΝΟΜΙΚΗ ΚΑΤΑΣΤΑΣΗ ΤΗΣ 31ης ΔΕΚΕΜΒΡΙOY 2010</t>
  </si>
  <si>
    <t>ΚΑΤΑΣΤΑΣΗ ΙΣΟΛΟΓΙΣΜΟΥ ΤΗΣ ΠΕΡΙΟΔΟΥ 01/01/2010 - 31/12/2010</t>
  </si>
  <si>
    <t>ΚΑΤΑΣΤΑΣΗ  ΑΠΟΤΕΛΕΣΜΑΤΩΝ ΠΕΡΙΟΔΟΥ ( 01/01/2010 -  31/12/2010 )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</si>
</sst>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</numFmts>
  <fonts count="10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49" fontId="3" fillId="0" borderId="4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5" fillId="0" borderId="8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workbookViewId="0" topLeftCell="A1">
      <selection activeCell="D30" sqref="D30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6" customWidth="1"/>
    <col min="4" max="4" width="44.75390625" style="0" customWidth="1"/>
    <col min="5" max="5" width="25.375" style="0" customWidth="1"/>
    <col min="6" max="7" width="12.75390625" style="0" bestFit="1" customWidth="1"/>
  </cols>
  <sheetData>
    <row r="1" ht="25.5">
      <c r="B1" s="4" t="s">
        <v>124</v>
      </c>
    </row>
    <row r="2" ht="12.75">
      <c r="B2" s="4" t="s">
        <v>125</v>
      </c>
    </row>
    <row r="3" ht="12.75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3.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5.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133666.35</v>
      </c>
      <c r="D10" s="46"/>
    </row>
    <row r="11" spans="1:4" ht="12.75">
      <c r="A11" s="11"/>
      <c r="B11" s="12" t="s">
        <v>35</v>
      </c>
      <c r="C11" s="29">
        <f>133666.35</f>
        <v>133666.35</v>
      </c>
      <c r="D11" s="28"/>
    </row>
    <row r="12" spans="1:4" ht="12.75">
      <c r="A12" s="11"/>
      <c r="B12" s="12" t="s">
        <v>14</v>
      </c>
      <c r="C12" s="29">
        <f>0</f>
        <v>0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21537596.9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6348487.510000001</v>
      </c>
      <c r="D14" s="46"/>
    </row>
    <row r="15" spans="1:4" ht="12.75">
      <c r="A15" s="11"/>
      <c r="B15" s="15" t="s">
        <v>37</v>
      </c>
      <c r="C15" s="29">
        <f>5632888.73</f>
        <v>5632888.73</v>
      </c>
      <c r="D15" s="28"/>
    </row>
    <row r="16" spans="1:4" ht="12.75">
      <c r="A16" s="11"/>
      <c r="B16" s="15" t="s">
        <v>38</v>
      </c>
      <c r="C16" s="29">
        <f>2243340.25</f>
        <v>2243340.25</v>
      </c>
      <c r="D16" s="28"/>
    </row>
    <row r="17" spans="1:4" ht="12.75">
      <c r="A17" s="11"/>
      <c r="B17" s="12" t="s">
        <v>14</v>
      </c>
      <c r="C17" s="29">
        <f>1527741.47</f>
        <v>1527741.47</v>
      </c>
      <c r="D17" s="28"/>
    </row>
    <row r="18" spans="1:4" ht="25.5">
      <c r="A18" s="13" t="s">
        <v>39</v>
      </c>
      <c r="B18" s="14" t="s">
        <v>19</v>
      </c>
      <c r="C18" s="29">
        <f>82736.24</f>
        <v>82736.24</v>
      </c>
      <c r="D18" s="28"/>
    </row>
    <row r="19" spans="1:5" ht="12.75">
      <c r="A19" s="16" t="s">
        <v>40</v>
      </c>
      <c r="B19" s="14" t="s">
        <v>20</v>
      </c>
      <c r="C19" s="32">
        <f>SUM(C20:C27)</f>
        <v>15106373.149999999</v>
      </c>
      <c r="D19" s="46"/>
      <c r="E19" s="26"/>
    </row>
    <row r="20" spans="1:4" ht="12.75">
      <c r="A20" s="11"/>
      <c r="B20" s="15" t="s">
        <v>41</v>
      </c>
      <c r="C20" s="29">
        <f>2821129.86+1963653.24+1464849.47+972066.62-2535671.56-1212629.89</f>
        <v>3473397.7399999993</v>
      </c>
      <c r="D20" s="28"/>
    </row>
    <row r="21" spans="1:4" ht="12.75">
      <c r="A21" s="11"/>
      <c r="B21" s="15" t="s">
        <v>42</v>
      </c>
      <c r="C21" s="29">
        <f>567593.53-110676.69</f>
        <v>456916.84</v>
      </c>
      <c r="D21" s="28"/>
    </row>
    <row r="22" spans="1:4" ht="25.5">
      <c r="A22" s="11"/>
      <c r="B22" s="15" t="s">
        <v>43</v>
      </c>
      <c r="C22" s="29">
        <f>2191000+70000+2579095.09-16155.39-152523.05-C23-C24</f>
        <v>3523971.4600000004</v>
      </c>
      <c r="D22" s="28"/>
    </row>
    <row r="23" spans="1:4" ht="12.75">
      <c r="A23" s="11"/>
      <c r="B23" s="15" t="s">
        <v>44</v>
      </c>
      <c r="C23" s="29">
        <f>50000+192867.84+75000+150000+50000+100000+100000+50000+100000+50000+50000+100000+50000+50000-55826.43</f>
        <v>1112041.41</v>
      </c>
      <c r="D23" s="28"/>
    </row>
    <row r="24" spans="1:4" ht="12.75">
      <c r="A24" s="11"/>
      <c r="B24" s="15" t="s">
        <v>45</v>
      </c>
      <c r="C24" s="29">
        <f>132100.39-96696.61</f>
        <v>35403.78000000001</v>
      </c>
      <c r="D24" s="28"/>
    </row>
    <row r="25" spans="1:4" ht="25.5">
      <c r="A25" s="11"/>
      <c r="B25" s="15" t="s">
        <v>46</v>
      </c>
      <c r="C25" s="29">
        <f>7336.76-365.15</f>
        <v>6971.610000000001</v>
      </c>
      <c r="D25" s="28"/>
    </row>
    <row r="26" spans="1:4" ht="12.75">
      <c r="A26" s="11"/>
      <c r="B26" s="15" t="s">
        <v>47</v>
      </c>
      <c r="C26" s="29"/>
      <c r="D26" s="28"/>
    </row>
    <row r="27" spans="1:4" ht="12.75">
      <c r="A27" s="11"/>
      <c r="B27" s="15" t="s">
        <v>122</v>
      </c>
      <c r="C27" s="29">
        <f>6486850.71+10819.6</f>
        <v>6497670.31</v>
      </c>
      <c r="D27" s="28"/>
    </row>
    <row r="28" spans="1:4" ht="12.75">
      <c r="A28" s="9" t="s">
        <v>21</v>
      </c>
      <c r="B28" s="10" t="s">
        <v>22</v>
      </c>
      <c r="C28" s="32">
        <f>SUM(C29)</f>
        <v>0</v>
      </c>
      <c r="D28" s="46"/>
    </row>
    <row r="29" spans="1:4" ht="12.75">
      <c r="A29" s="11"/>
      <c r="B29" s="15" t="s">
        <v>48</v>
      </c>
      <c r="C29" s="29">
        <f>0</f>
        <v>0</v>
      </c>
      <c r="D29" s="36"/>
    </row>
    <row r="30" spans="1:4" ht="12.75">
      <c r="A30" s="9" t="s">
        <v>23</v>
      </c>
      <c r="B30" s="10" t="s">
        <v>24</v>
      </c>
      <c r="C30" s="32">
        <f>SUM(C31:C33)</f>
        <v>4956178.66</v>
      </c>
      <c r="D30" s="46"/>
    </row>
    <row r="31" spans="1:4" ht="12.75">
      <c r="A31" s="11"/>
      <c r="B31" s="15" t="s">
        <v>49</v>
      </c>
      <c r="C31" s="29">
        <f>459755.18+394000</f>
        <v>853755.1799999999</v>
      </c>
      <c r="D31" s="28"/>
    </row>
    <row r="32" spans="1:4" ht="12.75">
      <c r="A32" s="11"/>
      <c r="B32" s="15" t="s">
        <v>51</v>
      </c>
      <c r="C32" s="29">
        <f>869924.93-394000</f>
        <v>475924.93000000005</v>
      </c>
      <c r="D32" s="28"/>
    </row>
    <row r="33" spans="1:4" ht="12.75">
      <c r="A33" s="11"/>
      <c r="B33" s="15" t="s">
        <v>50</v>
      </c>
      <c r="C33" s="29">
        <f>4956178.66-C31-C32</f>
        <v>3626498.5500000003</v>
      </c>
      <c r="D33" s="28"/>
    </row>
    <row r="34" spans="1:4" ht="12.75">
      <c r="A34" s="9" t="s">
        <v>26</v>
      </c>
      <c r="B34" s="10" t="s">
        <v>27</v>
      </c>
      <c r="C34" s="32">
        <f>SUM(C35,C38)</f>
        <v>545707</v>
      </c>
      <c r="D34" s="46"/>
    </row>
    <row r="35" spans="1:4" ht="12.75">
      <c r="A35" s="16" t="s">
        <v>28</v>
      </c>
      <c r="B35" s="14" t="s">
        <v>29</v>
      </c>
      <c r="C35" s="32">
        <f>C36-C37</f>
        <v>216890</v>
      </c>
      <c r="D35" s="46"/>
    </row>
    <row r="36" spans="1:4" ht="12.75">
      <c r="A36" s="11"/>
      <c r="B36" s="15" t="s">
        <v>52</v>
      </c>
      <c r="C36" s="29">
        <f>560405.88+353811.39</f>
        <v>914217.27</v>
      </c>
      <c r="D36" s="28"/>
    </row>
    <row r="37" spans="1:4" ht="12.75">
      <c r="A37" s="11"/>
      <c r="B37" s="12" t="s">
        <v>14</v>
      </c>
      <c r="C37" s="29">
        <f>514546.1+182781.17</f>
        <v>697327.27</v>
      </c>
      <c r="D37" s="28"/>
    </row>
    <row r="38" spans="1:4" ht="12.75">
      <c r="A38" s="16" t="s">
        <v>30</v>
      </c>
      <c r="B38" s="14" t="s">
        <v>31</v>
      </c>
      <c r="C38" s="32">
        <f>SUM(C39:C40)</f>
        <v>328817</v>
      </c>
      <c r="D38" s="46"/>
    </row>
    <row r="39" spans="1:4" ht="12.75">
      <c r="A39" s="11"/>
      <c r="B39" s="15" t="s">
        <v>102</v>
      </c>
      <c r="C39" s="29">
        <f>58490.27</f>
        <v>58490.27</v>
      </c>
      <c r="D39" s="28"/>
    </row>
    <row r="40" spans="1:4" ht="12.75">
      <c r="A40" s="11"/>
      <c r="B40" s="15" t="s">
        <v>53</v>
      </c>
      <c r="C40" s="29">
        <f>270326.73</f>
        <v>270326.73</v>
      </c>
      <c r="D40" s="28"/>
    </row>
    <row r="41" spans="1:4" ht="12.75">
      <c r="A41" s="9" t="s">
        <v>32</v>
      </c>
      <c r="B41" s="10" t="s">
        <v>33</v>
      </c>
      <c r="C41" s="32">
        <f>SUM(C42:C43)</f>
        <v>261051.1</v>
      </c>
      <c r="D41" s="46"/>
    </row>
    <row r="42" spans="1:4" ht="12.75">
      <c r="A42" s="11"/>
      <c r="B42" s="12" t="s">
        <v>54</v>
      </c>
      <c r="C42" s="29">
        <f>224584.09</f>
        <v>224584.09</v>
      </c>
      <c r="D42" s="28"/>
    </row>
    <row r="43" spans="1:4" ht="12.75">
      <c r="A43" s="11"/>
      <c r="B43" s="15" t="s">
        <v>55</v>
      </c>
      <c r="C43" s="29">
        <f>5576.36+30890.65</f>
        <v>36467.01</v>
      </c>
      <c r="D43" s="28"/>
    </row>
    <row r="44" spans="1:4" ht="13.5" thickBot="1">
      <c r="A44" s="17"/>
      <c r="B44" s="18" t="s">
        <v>34</v>
      </c>
      <c r="C44" s="42">
        <f>SUM(C8,C10,C13,C28,C30,C34,C41)</f>
        <v>27434200.01</v>
      </c>
      <c r="D44" s="47"/>
    </row>
    <row r="45" spans="3:4" ht="14.2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14683711.33</v>
      </c>
      <c r="D47" s="46"/>
    </row>
    <row r="48" spans="1:4" ht="12.75">
      <c r="A48" s="16"/>
      <c r="B48" s="14" t="s">
        <v>58</v>
      </c>
      <c r="C48" s="32">
        <f>SUM(C49:C50)</f>
        <v>4472067.6</v>
      </c>
      <c r="D48" s="46"/>
    </row>
    <row r="49" spans="1:4" ht="12.75">
      <c r="A49" s="11"/>
      <c r="B49" s="15" t="s">
        <v>59</v>
      </c>
      <c r="C49" s="29">
        <f>4472067.6</f>
        <v>4472067.6</v>
      </c>
      <c r="D49" s="28"/>
    </row>
    <row r="50" spans="1:4" ht="12.75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1641104.17+6191798.16</f>
        <v>7832902.33</v>
      </c>
      <c r="D51" s="28"/>
    </row>
    <row r="52" spans="1:4" ht="12.75">
      <c r="A52" s="11"/>
      <c r="B52" s="14" t="s">
        <v>61</v>
      </c>
      <c r="C52" s="29">
        <f>1211422.25-292855.78+1721133.45-260958.52</f>
        <v>2378741.4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9490590.45</v>
      </c>
      <c r="D53" s="46"/>
    </row>
    <row r="54" spans="1:4" ht="12.75">
      <c r="A54" s="11"/>
      <c r="B54" s="14" t="s">
        <v>103</v>
      </c>
      <c r="C54" s="32">
        <f>SUM(C55:C56)</f>
        <v>3804363.51</v>
      </c>
      <c r="D54" s="46"/>
    </row>
    <row r="55" spans="1:4" ht="12.75">
      <c r="A55" s="11"/>
      <c r="B55" s="15" t="s">
        <v>67</v>
      </c>
      <c r="C55" s="39">
        <f>3320743.66+1958.84+252485.4+89.5+201310.74+12151.62+10682.07</f>
        <v>3799421.8299999996</v>
      </c>
      <c r="D55" s="28"/>
    </row>
    <row r="56" spans="1:4" ht="12.75">
      <c r="A56" s="11"/>
      <c r="B56" s="15" t="s">
        <v>68</v>
      </c>
      <c r="C56" s="39">
        <f>2115.91+113.66+357.89+2354.22</f>
        <v>4941.679999999999</v>
      </c>
      <c r="D56" s="28"/>
    </row>
    <row r="57" spans="1:4" ht="12.75">
      <c r="A57" s="11"/>
      <c r="B57" s="14" t="s">
        <v>104</v>
      </c>
      <c r="C57" s="32">
        <f>SUM(C58:C59)</f>
        <v>3003606.49</v>
      </c>
      <c r="D57" s="28"/>
    </row>
    <row r="58" spans="1:4" ht="12.75">
      <c r="A58" s="11"/>
      <c r="B58" s="15" t="s">
        <v>69</v>
      </c>
      <c r="C58" s="39">
        <f>(676789.37-316343.74)+198557.47+9879.58</f>
        <v>568882.6799999999</v>
      </c>
      <c r="D58" s="28"/>
    </row>
    <row r="59" spans="1:4" ht="12.75">
      <c r="A59" s="11"/>
      <c r="B59" s="15" t="s">
        <v>68</v>
      </c>
      <c r="C59" s="39">
        <f>(1444845.54-288611.71)+1278489.98</f>
        <v>2434723.81</v>
      </c>
      <c r="D59" s="28"/>
    </row>
    <row r="60" spans="1:4" ht="12.75">
      <c r="A60" s="11"/>
      <c r="B60" s="14" t="s">
        <v>105</v>
      </c>
      <c r="C60" s="32">
        <f>SUM(C61:C62)</f>
        <v>2682620.45</v>
      </c>
      <c r="D60" s="48"/>
    </row>
    <row r="61" spans="1:4" ht="12.75">
      <c r="A61" s="11"/>
      <c r="B61" s="15" t="s">
        <v>70</v>
      </c>
      <c r="C61" s="39">
        <f>316343.74+1119413.25</f>
        <v>1435756.99</v>
      </c>
      <c r="D61" s="28"/>
    </row>
    <row r="62" spans="1:4" ht="12.75">
      <c r="A62" s="11"/>
      <c r="B62" s="15" t="s">
        <v>68</v>
      </c>
      <c r="C62" s="39">
        <f>288611.71+958251.75</f>
        <v>1246863.46</v>
      </c>
      <c r="D62" s="28"/>
    </row>
    <row r="63" spans="1:4" ht="27.75" customHeight="1">
      <c r="A63" s="11" t="s">
        <v>21</v>
      </c>
      <c r="B63" s="15" t="s">
        <v>71</v>
      </c>
      <c r="C63" s="39">
        <f>0</f>
        <v>0</v>
      </c>
      <c r="D63" s="28"/>
    </row>
    <row r="64" spans="1:4" ht="12.75">
      <c r="A64" s="11" t="s">
        <v>120</v>
      </c>
      <c r="B64" s="15" t="s">
        <v>121</v>
      </c>
      <c r="C64" s="39">
        <f>172444.54+550.42</f>
        <v>172994.96000000002</v>
      </c>
      <c r="D64" s="28"/>
    </row>
    <row r="65" spans="1:4" ht="12.75">
      <c r="A65" s="33" t="s">
        <v>32</v>
      </c>
      <c r="B65" s="10" t="s">
        <v>63</v>
      </c>
      <c r="C65" s="32">
        <f>SUM(C66:C75)</f>
        <v>3064858.27</v>
      </c>
      <c r="D65" s="46"/>
    </row>
    <row r="66" spans="1:4" ht="12.75">
      <c r="A66" s="11"/>
      <c r="B66" s="15" t="s">
        <v>25</v>
      </c>
      <c r="C66" s="39">
        <f>601564.27</f>
        <v>601564.27</v>
      </c>
      <c r="D66" s="28"/>
    </row>
    <row r="67" spans="1:4" ht="12.75">
      <c r="A67" s="11"/>
      <c r="B67" s="15" t="s">
        <v>74</v>
      </c>
      <c r="C67" s="29">
        <f>1200132.58-1085132.58</f>
        <v>115000</v>
      </c>
      <c r="D67" s="28"/>
    </row>
    <row r="68" spans="1:4" ht="25.5">
      <c r="A68" s="11"/>
      <c r="B68" s="15" t="s">
        <v>79</v>
      </c>
      <c r="C68" s="29">
        <f>193397.37</f>
        <v>193397.37</v>
      </c>
      <c r="D68" s="28"/>
    </row>
    <row r="69" spans="1:4" ht="12.75">
      <c r="A69" s="11"/>
      <c r="B69" s="15" t="s">
        <v>77</v>
      </c>
      <c r="C69" s="29"/>
      <c r="D69" s="28"/>
    </row>
    <row r="70" spans="1:4" ht="12.75">
      <c r="A70" s="11"/>
      <c r="B70" s="15" t="s">
        <v>72</v>
      </c>
      <c r="C70" s="29"/>
      <c r="D70" s="28"/>
    </row>
    <row r="71" spans="1:4" ht="12.75">
      <c r="A71" s="11"/>
      <c r="B71" s="15" t="s">
        <v>73</v>
      </c>
      <c r="C71" s="29">
        <f>0</f>
        <v>0</v>
      </c>
      <c r="D71" s="28"/>
    </row>
    <row r="72" spans="1:4" ht="12.75">
      <c r="A72" s="11"/>
      <c r="B72" s="15" t="s">
        <v>75</v>
      </c>
      <c r="C72" s="29">
        <f>597581.09</f>
        <v>597581.09</v>
      </c>
      <c r="D72" s="28"/>
    </row>
    <row r="73" spans="1:4" ht="12.75">
      <c r="A73" s="11"/>
      <c r="B73" s="15" t="s">
        <v>76</v>
      </c>
      <c r="C73" s="29">
        <f>81840.14</f>
        <v>81840.14</v>
      </c>
      <c r="D73" s="28"/>
    </row>
    <row r="74" spans="1:4" ht="12.75">
      <c r="A74" s="11"/>
      <c r="B74" s="15" t="s">
        <v>78</v>
      </c>
      <c r="C74" s="29">
        <f>13846.09</f>
        <v>13846.09</v>
      </c>
      <c r="D74" s="28"/>
    </row>
    <row r="75" spans="1:4" ht="12.75">
      <c r="A75" s="11"/>
      <c r="B75" s="15" t="s">
        <v>123</v>
      </c>
      <c r="C75" s="29">
        <f>251009.39+36960.44+770470.98+403188.5</f>
        <v>1461629.31</v>
      </c>
      <c r="D75" s="28"/>
    </row>
    <row r="76" spans="1:4" ht="12.75">
      <c r="A76" s="11"/>
      <c r="B76" s="10" t="s">
        <v>64</v>
      </c>
      <c r="C76" s="32">
        <f>SUM(C77)</f>
        <v>22045</v>
      </c>
      <c r="D76" s="46"/>
    </row>
    <row r="77" spans="1:4" ht="12.75">
      <c r="A77" s="11"/>
      <c r="B77" s="15" t="s">
        <v>80</v>
      </c>
      <c r="C77" s="29">
        <f>23145-1100</f>
        <v>22045</v>
      </c>
      <c r="D77" s="28"/>
    </row>
    <row r="78" spans="1:4" ht="13.5" thickBot="1">
      <c r="A78" s="17"/>
      <c r="B78" s="18" t="s">
        <v>65</v>
      </c>
      <c r="C78" s="42">
        <f>SUM(C47,C53,C63,C64,C65,C76)</f>
        <v>27434200.01</v>
      </c>
      <c r="D78" s="47"/>
    </row>
    <row r="79" spans="3:4" ht="13.5" thickTop="1">
      <c r="C79" s="51"/>
      <c r="D79" s="28"/>
    </row>
    <row r="80" spans="2:4" ht="12.75">
      <c r="B80" s="4" t="s">
        <v>135</v>
      </c>
      <c r="C80" s="28"/>
      <c r="D80" s="28"/>
    </row>
    <row r="81" spans="3:4" ht="13.5" thickBot="1">
      <c r="C81" s="52"/>
      <c r="D81" s="28"/>
    </row>
    <row r="82" spans="1:4" ht="13.5" thickTop="1">
      <c r="A82" s="6"/>
      <c r="B82" s="22" t="s">
        <v>81</v>
      </c>
      <c r="C82" s="43">
        <f>C121</f>
        <v>364525.76999999967</v>
      </c>
      <c r="D82" s="49"/>
    </row>
    <row r="83" spans="1:4" ht="12.75">
      <c r="A83" s="11"/>
      <c r="B83" s="14" t="s">
        <v>82</v>
      </c>
      <c r="C83" s="44">
        <f>C151</f>
        <v>2554201.169999999</v>
      </c>
      <c r="D83" s="49"/>
    </row>
    <row r="84" spans="1:4" ht="25.5">
      <c r="A84" s="11"/>
      <c r="B84" s="14" t="s">
        <v>83</v>
      </c>
      <c r="C84" s="44">
        <f>C181</f>
        <v>911532.0200000003</v>
      </c>
      <c r="D84" s="49"/>
    </row>
    <row r="85" spans="1:4" ht="12.75">
      <c r="A85" s="11"/>
      <c r="B85" s="14" t="s">
        <v>86</v>
      </c>
      <c r="C85" s="44">
        <f>SUM(C82:C84)</f>
        <v>3830258.959999999</v>
      </c>
      <c r="D85" s="49"/>
    </row>
    <row r="86" spans="1:4" ht="12.75">
      <c r="A86" s="11"/>
      <c r="B86" s="23" t="s">
        <v>84</v>
      </c>
      <c r="C86" s="29"/>
      <c r="D86" s="28"/>
    </row>
    <row r="87" spans="1:4" ht="12.75">
      <c r="A87" s="11"/>
      <c r="B87" s="21" t="s">
        <v>85</v>
      </c>
      <c r="C87" s="29">
        <f>1144932.09+(1112046.27-1898.95-649051.14)+(78504.89-694.38-30-68132.42)+(425348.3-0)+(16904.63+0)+131593.9+0+19862.27+(-49668.21+23270.56)+20673.14-93537.11-100+73821.05-74719.38</f>
        <v>2109125.5100000002</v>
      </c>
      <c r="D87" s="28"/>
    </row>
    <row r="88" spans="1:4" ht="13.5" thickBot="1">
      <c r="A88" s="17"/>
      <c r="B88" s="18" t="s">
        <v>87</v>
      </c>
      <c r="C88" s="45">
        <f>C85-SUM(C87:C87)</f>
        <v>1721133.4499999988</v>
      </c>
      <c r="D88" s="49"/>
    </row>
    <row r="89" spans="3:4" ht="13.5" thickTop="1">
      <c r="C89" s="28"/>
      <c r="D89" s="2"/>
    </row>
    <row r="90" spans="3:4" ht="12.75">
      <c r="C90" s="28"/>
      <c r="D90" s="2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"/>
    </row>
    <row r="94" spans="1:4" ht="12.75">
      <c r="A94" s="11"/>
      <c r="B94" s="34" t="s">
        <v>4</v>
      </c>
      <c r="C94" s="29"/>
      <c r="D94" s="2"/>
    </row>
    <row r="95" spans="1:4" ht="12.75">
      <c r="A95" s="11"/>
      <c r="B95" s="20" t="s">
        <v>89</v>
      </c>
      <c r="C95" s="40">
        <f>SUM(C96,-C97,C98,-C99,C100,-C102,C103)</f>
        <v>475029.40999999974</v>
      </c>
      <c r="D95" s="2"/>
    </row>
    <row r="96" spans="1:4" ht="12.75">
      <c r="A96" s="11"/>
      <c r="B96" s="15" t="s">
        <v>88</v>
      </c>
      <c r="C96" s="29">
        <f>54988.05+50513.33</f>
        <v>105501.38</v>
      </c>
      <c r="D96" s="2"/>
    </row>
    <row r="97" spans="1:4" ht="12.75">
      <c r="A97" s="11"/>
      <c r="B97" s="15" t="s">
        <v>90</v>
      </c>
      <c r="C97" s="29">
        <f>18627.93</f>
        <v>18627.93</v>
      </c>
      <c r="D97" s="2"/>
    </row>
    <row r="98" spans="1:4" ht="12.75">
      <c r="A98" s="11"/>
      <c r="B98" s="15" t="s">
        <v>109</v>
      </c>
      <c r="C98" s="29">
        <f>3676268.11+264985.36+2194.87</f>
        <v>3943448.34</v>
      </c>
      <c r="D98" s="2"/>
    </row>
    <row r="99" spans="1:9" ht="12.75">
      <c r="A99" s="11"/>
      <c r="B99" s="15" t="s">
        <v>98</v>
      </c>
      <c r="C99" s="29">
        <f>4032.72</f>
        <v>4032.72</v>
      </c>
      <c r="D99" s="36"/>
      <c r="E99" s="54"/>
      <c r="F99" s="54"/>
      <c r="G99" s="54"/>
      <c r="H99" s="54"/>
      <c r="I99" s="54"/>
    </row>
    <row r="100" spans="1:9" ht="12.75">
      <c r="A100" s="11"/>
      <c r="B100" s="15" t="s">
        <v>91</v>
      </c>
      <c r="C100" s="29">
        <f>24017.74</f>
        <v>24017.74</v>
      </c>
      <c r="D100" s="55"/>
      <c r="E100" s="54"/>
      <c r="F100" s="54"/>
      <c r="G100" s="54"/>
      <c r="H100" s="54"/>
      <c r="I100" s="54"/>
    </row>
    <row r="101" spans="1:9" ht="12.75">
      <c r="A101" s="11"/>
      <c r="B101" s="15" t="s">
        <v>84</v>
      </c>
      <c r="C101" s="29"/>
      <c r="D101" s="55"/>
      <c r="E101" s="54"/>
      <c r="F101" s="54"/>
      <c r="G101" s="54"/>
      <c r="H101" s="54"/>
      <c r="I101" s="54"/>
    </row>
    <row r="102" spans="1:9" ht="12.75">
      <c r="A102" s="11"/>
      <c r="B102" s="15" t="s">
        <v>110</v>
      </c>
      <c r="C102" s="29">
        <f>252599.06+4074.75+447.39+3170743.66+150000</f>
        <v>3577864.8600000003</v>
      </c>
      <c r="D102" s="50"/>
      <c r="E102" s="54"/>
      <c r="F102" s="54"/>
      <c r="G102" s="54"/>
      <c r="H102" s="54"/>
      <c r="I102" s="54"/>
    </row>
    <row r="103" spans="1:9" ht="12.75">
      <c r="A103" s="11"/>
      <c r="B103" s="15" t="s">
        <v>98</v>
      </c>
      <c r="C103" s="29">
        <f>113.66+2115.91+357.89</f>
        <v>2587.4599999999996</v>
      </c>
      <c r="D103" s="36"/>
      <c r="E103" s="54"/>
      <c r="F103" s="54"/>
      <c r="G103" s="54"/>
      <c r="H103" s="54"/>
      <c r="I103" s="54"/>
    </row>
    <row r="104" spans="1:9" ht="12.75">
      <c r="A104" s="11"/>
      <c r="B104" s="15" t="s">
        <v>92</v>
      </c>
      <c r="C104" s="29">
        <f>466209.94</f>
        <v>466209.94</v>
      </c>
      <c r="D104" s="36"/>
      <c r="E104" s="54"/>
      <c r="F104" s="54"/>
      <c r="G104" s="54"/>
      <c r="H104" s="54"/>
      <c r="I104" s="54"/>
    </row>
    <row r="105" spans="1:9" ht="12.75">
      <c r="A105" s="11"/>
      <c r="B105" s="10" t="s">
        <v>8</v>
      </c>
      <c r="C105" s="40">
        <f>SUM(C95,C104)</f>
        <v>941239.3499999997</v>
      </c>
      <c r="D105" s="36"/>
      <c r="E105" s="54"/>
      <c r="F105" s="54"/>
      <c r="G105" s="54"/>
      <c r="H105" s="54"/>
      <c r="I105" s="54"/>
    </row>
    <row r="106" spans="1:9" ht="12.75">
      <c r="A106" s="11"/>
      <c r="B106" s="34" t="s">
        <v>5</v>
      </c>
      <c r="C106" s="31"/>
      <c r="D106" s="55"/>
      <c r="E106" s="54"/>
      <c r="F106" s="54"/>
      <c r="G106" s="54"/>
      <c r="H106" s="54"/>
      <c r="I106" s="54"/>
    </row>
    <row r="107" spans="1:9" ht="12.75">
      <c r="A107" s="11"/>
      <c r="B107" s="14" t="s">
        <v>94</v>
      </c>
      <c r="C107" s="40">
        <f>SUM(C108,-C109,C110,-C111,C112,-C113,-C115,+C116,-C117,+C118)</f>
        <v>574444.7300000001</v>
      </c>
      <c r="D107" s="36"/>
      <c r="E107" s="54"/>
      <c r="F107" s="54"/>
      <c r="G107" s="54"/>
      <c r="H107" s="54"/>
      <c r="I107" s="54"/>
    </row>
    <row r="108" spans="1:9" ht="12.75">
      <c r="A108" s="11"/>
      <c r="B108" s="15" t="s">
        <v>93</v>
      </c>
      <c r="C108" s="29">
        <f>471098.35</f>
        <v>471098.35</v>
      </c>
      <c r="D108" s="55"/>
      <c r="E108" s="54"/>
      <c r="F108" s="54"/>
      <c r="G108" s="54"/>
      <c r="H108" s="54"/>
      <c r="I108" s="54"/>
    </row>
    <row r="109" spans="1:9" ht="12.75">
      <c r="A109" s="11"/>
      <c r="B109" s="15" t="s">
        <v>98</v>
      </c>
      <c r="C109" s="29">
        <f>47087.54</f>
        <v>47087.54</v>
      </c>
      <c r="D109" s="36"/>
      <c r="E109" s="36"/>
      <c r="F109" s="36"/>
      <c r="G109" s="54"/>
      <c r="H109" s="54"/>
      <c r="I109" s="54"/>
    </row>
    <row r="110" spans="1:9" ht="12.75">
      <c r="A110" s="11"/>
      <c r="B110" s="15" t="s">
        <v>111</v>
      </c>
      <c r="C110" s="29">
        <f>215816.58</f>
        <v>215816.58</v>
      </c>
      <c r="D110" s="55"/>
      <c r="E110" s="54"/>
      <c r="F110" s="54"/>
      <c r="G110" s="54"/>
      <c r="H110" s="54"/>
      <c r="I110" s="54"/>
    </row>
    <row r="111" spans="1:9" ht="12.75">
      <c r="A111" s="11"/>
      <c r="B111" s="15" t="s">
        <v>98</v>
      </c>
      <c r="C111" s="29">
        <f>2354.22</f>
        <v>2354.22</v>
      </c>
      <c r="D111" s="36"/>
      <c r="E111" s="54"/>
      <c r="F111" s="54"/>
      <c r="G111" s="54"/>
      <c r="H111" s="54"/>
      <c r="I111" s="54"/>
    </row>
    <row r="112" spans="1:9" ht="12.75">
      <c r="A112" s="11"/>
      <c r="B112" s="15" t="s">
        <v>106</v>
      </c>
      <c r="C112" s="29">
        <f>10682.07</f>
        <v>10682.07</v>
      </c>
      <c r="D112" s="55"/>
      <c r="E112" s="54"/>
      <c r="F112" s="54"/>
      <c r="G112" s="54"/>
      <c r="H112" s="54"/>
      <c r="I112" s="54"/>
    </row>
    <row r="113" spans="1:9" ht="12.75">
      <c r="A113" s="11"/>
      <c r="B113" s="15" t="s">
        <v>98</v>
      </c>
      <c r="C113" s="29">
        <v>0</v>
      </c>
      <c r="D113" s="36"/>
      <c r="E113" s="56"/>
      <c r="F113" s="54"/>
      <c r="G113" s="54"/>
      <c r="H113" s="54"/>
      <c r="I113" s="54"/>
    </row>
    <row r="114" spans="1:9" ht="12.75">
      <c r="A114" s="11"/>
      <c r="B114" s="15" t="s">
        <v>84</v>
      </c>
      <c r="C114" s="29"/>
      <c r="D114" s="55"/>
      <c r="E114" s="54"/>
      <c r="F114" s="54"/>
      <c r="G114" s="54"/>
      <c r="H114" s="54"/>
      <c r="I114" s="54"/>
    </row>
    <row r="115" spans="1:9" ht="12.75">
      <c r="A115" s="11"/>
      <c r="B115" s="15" t="s">
        <v>107</v>
      </c>
      <c r="C115" s="29">
        <f>109946.84</f>
        <v>109946.84</v>
      </c>
      <c r="D115" s="55"/>
      <c r="E115" s="54"/>
      <c r="F115" s="54"/>
      <c r="G115" s="54"/>
      <c r="H115" s="54"/>
      <c r="I115" s="54"/>
    </row>
    <row r="116" spans="1:9" ht="12.75">
      <c r="A116" s="11"/>
      <c r="B116" s="15" t="s">
        <v>98</v>
      </c>
      <c r="C116" s="29">
        <f>47087.54</f>
        <v>47087.54</v>
      </c>
      <c r="D116" s="36"/>
      <c r="E116" s="54"/>
      <c r="F116" s="54"/>
      <c r="G116" s="54"/>
      <c r="H116" s="54"/>
      <c r="I116" s="54"/>
    </row>
    <row r="117" spans="1:9" ht="12.75">
      <c r="A117" s="11"/>
      <c r="B117" s="15" t="s">
        <v>108</v>
      </c>
      <c r="C117" s="29">
        <f>(10851.21+0)</f>
        <v>10851.21</v>
      </c>
      <c r="D117" s="55"/>
      <c r="E117" s="54"/>
      <c r="F117" s="54"/>
      <c r="G117" s="54"/>
      <c r="H117" s="54"/>
      <c r="I117" s="54"/>
    </row>
    <row r="118" spans="1:9" ht="12.75">
      <c r="A118" s="11"/>
      <c r="B118" s="15" t="s">
        <v>98</v>
      </c>
      <c r="C118" s="29">
        <v>0</v>
      </c>
      <c r="D118" s="36"/>
      <c r="E118" s="56"/>
      <c r="F118" s="54"/>
      <c r="G118" s="54"/>
      <c r="H118" s="54"/>
      <c r="I118" s="54"/>
    </row>
    <row r="119" spans="1:9" ht="12.75">
      <c r="A119" s="11"/>
      <c r="B119" s="15" t="s">
        <v>95</v>
      </c>
      <c r="C119" s="29">
        <f>1898.95+7700.49-6616.12-714.47</f>
        <v>2268.8500000000004</v>
      </c>
      <c r="D119" s="55"/>
      <c r="E119" s="54"/>
      <c r="F119" s="54"/>
      <c r="G119" s="54"/>
      <c r="H119" s="54"/>
      <c r="I119" s="54"/>
    </row>
    <row r="120" spans="1:9" ht="12.75">
      <c r="A120" s="11"/>
      <c r="B120" s="10" t="s">
        <v>6</v>
      </c>
      <c r="C120" s="40">
        <f>SUM(C119,C107)</f>
        <v>576713.5800000001</v>
      </c>
      <c r="D120" s="55"/>
      <c r="E120" s="54"/>
      <c r="F120" s="54"/>
      <c r="G120" s="54"/>
      <c r="H120" s="54"/>
      <c r="I120" s="54"/>
    </row>
    <row r="121" spans="1:9" ht="13.5" thickBot="1">
      <c r="A121" s="17"/>
      <c r="B121" s="18" t="s">
        <v>96</v>
      </c>
      <c r="C121" s="41">
        <f>C105-C120</f>
        <v>364525.76999999967</v>
      </c>
      <c r="D121" s="55"/>
      <c r="E121" s="54"/>
      <c r="F121" s="54"/>
      <c r="G121" s="54"/>
      <c r="H121" s="54"/>
      <c r="I121" s="54"/>
    </row>
    <row r="122" spans="2:9" ht="14.25" thickBot="1" thickTop="1">
      <c r="B122"/>
      <c r="C122" s="52"/>
      <c r="D122" s="57"/>
      <c r="E122" s="54"/>
      <c r="F122" s="54"/>
      <c r="G122" s="54"/>
      <c r="H122" s="54"/>
      <c r="I122" s="54"/>
    </row>
    <row r="123" spans="1:9" ht="15.75" customHeight="1" thickTop="1">
      <c r="A123" s="6"/>
      <c r="B123" s="24" t="s">
        <v>7</v>
      </c>
      <c r="C123" s="53"/>
      <c r="D123" s="58"/>
      <c r="E123" s="54"/>
      <c r="F123" s="54"/>
      <c r="G123" s="54"/>
      <c r="H123" s="54"/>
      <c r="I123" s="54"/>
    </row>
    <row r="124" spans="1:9" ht="12.75">
      <c r="A124" s="11"/>
      <c r="B124" s="34" t="s">
        <v>4</v>
      </c>
      <c r="C124" s="29"/>
      <c r="D124" s="58"/>
      <c r="E124" s="54"/>
      <c r="F124" s="54"/>
      <c r="G124" s="54"/>
      <c r="H124" s="54"/>
      <c r="I124" s="54"/>
    </row>
    <row r="125" spans="1:9" ht="12.75">
      <c r="A125" s="11"/>
      <c r="B125" s="20" t="s">
        <v>89</v>
      </c>
      <c r="C125" s="40">
        <f>SUM(C126,-C127,C128,-C129,C130,-C132,C133)</f>
        <v>1893952.8099999994</v>
      </c>
      <c r="D125" s="50"/>
      <c r="E125" s="54"/>
      <c r="F125" s="54"/>
      <c r="G125" s="54"/>
      <c r="H125" s="54"/>
      <c r="I125" s="54"/>
    </row>
    <row r="126" spans="1:9" ht="12.75">
      <c r="A126" s="11"/>
      <c r="B126" s="15" t="s">
        <v>88</v>
      </c>
      <c r="C126" s="29">
        <f>(5912813.82+0)-C156</f>
        <v>4542536.94</v>
      </c>
      <c r="D126" s="57"/>
      <c r="E126" s="54"/>
      <c r="F126" s="54"/>
      <c r="G126" s="54"/>
      <c r="H126" s="54"/>
      <c r="I126" s="54"/>
    </row>
    <row r="127" spans="1:9" ht="12.75">
      <c r="A127" s="11"/>
      <c r="B127" s="15" t="s">
        <v>90</v>
      </c>
      <c r="C127" s="29">
        <f>4461383.42-C97-C157</f>
        <v>3789024.7800000003</v>
      </c>
      <c r="D127" s="36"/>
      <c r="E127" s="54"/>
      <c r="F127" s="54"/>
      <c r="G127" s="54"/>
      <c r="H127" s="54"/>
      <c r="I127" s="54"/>
    </row>
    <row r="128" spans="1:9" ht="12.75">
      <c r="A128" s="11"/>
      <c r="B128" s="15" t="s">
        <v>112</v>
      </c>
      <c r="C128" s="29">
        <f>2604231.51-C158</f>
        <v>2074552.1999999997</v>
      </c>
      <c r="D128" s="57"/>
      <c r="E128" s="54"/>
      <c r="F128" s="54"/>
      <c r="G128" s="54"/>
      <c r="H128" s="54"/>
      <c r="I128" s="54"/>
    </row>
    <row r="129" spans="1:9" ht="12.75">
      <c r="A129" s="11"/>
      <c r="B129" s="15" t="s">
        <v>98</v>
      </c>
      <c r="C129" s="29">
        <f>1382739.3-C159</f>
        <v>1127629.9300000002</v>
      </c>
      <c r="D129" s="36"/>
      <c r="E129" s="54"/>
      <c r="F129" s="54"/>
      <c r="G129" s="54"/>
      <c r="H129" s="54"/>
      <c r="I129" s="54"/>
    </row>
    <row r="130" spans="1:9" ht="12.75">
      <c r="A130" s="11"/>
      <c r="B130" s="15" t="s">
        <v>91</v>
      </c>
      <c r="C130" s="29">
        <f>855427.42-C160</f>
        <v>553964.01</v>
      </c>
      <c r="D130" s="57"/>
      <c r="E130" s="54"/>
      <c r="F130" s="54"/>
      <c r="G130" s="54"/>
      <c r="H130" s="54"/>
      <c r="I130" s="54"/>
    </row>
    <row r="131" spans="1:9" ht="12.75">
      <c r="A131" s="11"/>
      <c r="B131" s="15" t="s">
        <v>84</v>
      </c>
      <c r="C131" s="29"/>
      <c r="D131" s="57"/>
      <c r="E131" s="54"/>
      <c r="F131" s="54"/>
      <c r="G131" s="54"/>
      <c r="H131" s="54"/>
      <c r="I131" s="54"/>
    </row>
    <row r="132" spans="1:9" ht="12.75">
      <c r="A132" s="11"/>
      <c r="B132" s="15" t="s">
        <v>113</v>
      </c>
      <c r="C132" s="29">
        <f>2121634.91-C162</f>
        <v>1516679.4600000002</v>
      </c>
      <c r="D132" s="57"/>
      <c r="E132" s="54"/>
      <c r="F132" s="54"/>
      <c r="G132" s="54"/>
      <c r="H132" s="54"/>
      <c r="I132" s="54"/>
    </row>
    <row r="133" spans="1:9" ht="12.75">
      <c r="A133" s="11"/>
      <c r="B133" s="15" t="s">
        <v>98</v>
      </c>
      <c r="C133" s="29">
        <f>1444845.54-C163</f>
        <v>1156233.83</v>
      </c>
      <c r="D133" s="36"/>
      <c r="E133" s="54"/>
      <c r="F133" s="54"/>
      <c r="G133" s="54"/>
      <c r="H133" s="54"/>
      <c r="I133" s="54"/>
    </row>
    <row r="134" spans="1:9" ht="12.75">
      <c r="A134" s="11"/>
      <c r="B134" s="15" t="s">
        <v>92</v>
      </c>
      <c r="C134" s="29">
        <f>523777.6</f>
        <v>523777.6</v>
      </c>
      <c r="D134" s="57"/>
      <c r="E134" s="54"/>
      <c r="F134" s="54"/>
      <c r="G134" s="54"/>
      <c r="H134" s="54"/>
      <c r="I134" s="54"/>
    </row>
    <row r="135" spans="1:9" ht="12.75">
      <c r="A135" s="11"/>
      <c r="B135" s="10" t="s">
        <v>8</v>
      </c>
      <c r="C135" s="40">
        <f>SUM(C125,C134)</f>
        <v>2417730.409999999</v>
      </c>
      <c r="D135" s="50"/>
      <c r="E135" s="54"/>
      <c r="F135" s="54"/>
      <c r="G135" s="54"/>
      <c r="H135" s="54"/>
      <c r="I135" s="54"/>
    </row>
    <row r="136" spans="1:9" ht="12.75">
      <c r="A136" s="11"/>
      <c r="B136" s="34" t="s">
        <v>5</v>
      </c>
      <c r="C136" s="29"/>
      <c r="D136" s="57"/>
      <c r="E136" s="54"/>
      <c r="F136" s="54"/>
      <c r="G136" s="54"/>
      <c r="H136" s="54"/>
      <c r="I136" s="54"/>
    </row>
    <row r="137" spans="1:9" ht="12.75">
      <c r="A137" s="11"/>
      <c r="B137" s="14" t="s">
        <v>94</v>
      </c>
      <c r="C137" s="40">
        <f>SUM(C138,-C139,C140,-C141,C142,-C143,-C145,C146,-C147,C148)</f>
        <v>297681.6800000004</v>
      </c>
      <c r="D137" s="50"/>
      <c r="E137" s="54"/>
      <c r="F137" s="54"/>
      <c r="G137" s="54"/>
      <c r="H137" s="54"/>
      <c r="I137" s="54"/>
    </row>
    <row r="138" spans="1:9" ht="12.75">
      <c r="A138" s="11"/>
      <c r="B138" s="15" t="s">
        <v>93</v>
      </c>
      <c r="C138" s="29">
        <f>2940285.2-0+(0+0)-C108-C168</f>
        <v>1938118.1500000001</v>
      </c>
      <c r="D138" s="57"/>
      <c r="E138" s="56"/>
      <c r="F138" s="54"/>
      <c r="G138" s="54"/>
      <c r="H138" s="54"/>
      <c r="I138" s="54"/>
    </row>
    <row r="139" spans="1:9" ht="12.75">
      <c r="A139" s="11"/>
      <c r="B139" s="15" t="s">
        <v>98</v>
      </c>
      <c r="C139" s="29">
        <f>1803992.71-0-C109-C169</f>
        <v>1527280.3699999999</v>
      </c>
      <c r="D139" s="36"/>
      <c r="E139" s="56"/>
      <c r="F139" s="36"/>
      <c r="G139" s="54"/>
      <c r="H139" s="54"/>
      <c r="I139" s="54"/>
    </row>
    <row r="140" spans="1:9" ht="12.75">
      <c r="A140" s="11"/>
      <c r="B140" s="15" t="s">
        <v>114</v>
      </c>
      <c r="C140" s="29">
        <f>1477047.45+9879.58</f>
        <v>1486927.03</v>
      </c>
      <c r="D140" s="57"/>
      <c r="E140" s="56"/>
      <c r="F140" s="54"/>
      <c r="G140" s="54"/>
      <c r="H140" s="54"/>
      <c r="I140" s="54"/>
    </row>
    <row r="141" spans="1:9" ht="12.75">
      <c r="A141" s="11"/>
      <c r="B141" s="15" t="s">
        <v>98</v>
      </c>
      <c r="C141" s="29">
        <f>1278489.98</f>
        <v>1278489.98</v>
      </c>
      <c r="D141" s="36"/>
      <c r="E141" s="54"/>
      <c r="F141" s="54"/>
      <c r="G141" s="54"/>
      <c r="H141" s="54"/>
      <c r="I141" s="54"/>
    </row>
    <row r="142" spans="1:9" ht="12.75">
      <c r="A142" s="11"/>
      <c r="B142" s="15" t="s">
        <v>106</v>
      </c>
      <c r="C142" s="29">
        <f>0</f>
        <v>0</v>
      </c>
      <c r="D142" s="57"/>
      <c r="E142" s="54"/>
      <c r="F142" s="54"/>
      <c r="G142" s="54"/>
      <c r="H142" s="54"/>
      <c r="I142" s="54"/>
    </row>
    <row r="143" spans="1:9" ht="12.75">
      <c r="A143" s="11"/>
      <c r="B143" s="15" t="s">
        <v>98</v>
      </c>
      <c r="C143" s="29">
        <f>0</f>
        <v>0</v>
      </c>
      <c r="D143" s="57"/>
      <c r="E143" s="54"/>
      <c r="F143" s="54"/>
      <c r="G143" s="54"/>
      <c r="H143" s="54"/>
      <c r="I143" s="54"/>
    </row>
    <row r="144" spans="1:9" ht="12.75">
      <c r="A144" s="11"/>
      <c r="B144" s="15" t="s">
        <v>84</v>
      </c>
      <c r="C144" s="29"/>
      <c r="D144" s="57"/>
      <c r="E144" s="54"/>
      <c r="F144" s="54"/>
      <c r="G144" s="54"/>
      <c r="H144" s="54"/>
      <c r="I144" s="54"/>
    </row>
    <row r="145" spans="1:9" ht="12.75">
      <c r="A145" s="11"/>
      <c r="B145" s="15" t="s">
        <v>115</v>
      </c>
      <c r="C145" s="29">
        <f>2491329.46</f>
        <v>2491329.46</v>
      </c>
      <c r="D145" s="57"/>
      <c r="E145" s="54"/>
      <c r="F145" s="54"/>
      <c r="G145" s="54"/>
      <c r="H145" s="54"/>
      <c r="I145" s="54"/>
    </row>
    <row r="146" spans="1:9" ht="12.75">
      <c r="A146" s="11"/>
      <c r="B146" s="15" t="s">
        <v>98</v>
      </c>
      <c r="C146" s="29">
        <f>2169736.31</f>
        <v>2169736.31</v>
      </c>
      <c r="D146" s="36"/>
      <c r="E146" s="54"/>
      <c r="F146" s="54"/>
      <c r="G146" s="54"/>
      <c r="H146" s="54"/>
      <c r="I146" s="54"/>
    </row>
    <row r="147" spans="1:9" ht="12.75">
      <c r="A147" s="11"/>
      <c r="B147" s="15" t="s">
        <v>116</v>
      </c>
      <c r="C147" s="29">
        <f>0</f>
        <v>0</v>
      </c>
      <c r="D147" s="57"/>
      <c r="E147" s="54"/>
      <c r="F147" s="54"/>
      <c r="G147" s="54"/>
      <c r="H147" s="54"/>
      <c r="I147" s="54"/>
    </row>
    <row r="148" spans="1:9" ht="12.75">
      <c r="A148" s="11"/>
      <c r="B148" s="15" t="s">
        <v>98</v>
      </c>
      <c r="C148" s="29">
        <f>0</f>
        <v>0</v>
      </c>
      <c r="D148" s="57"/>
      <c r="E148" s="54"/>
      <c r="F148" s="54"/>
      <c r="G148" s="54"/>
      <c r="H148" s="54"/>
      <c r="I148" s="54"/>
    </row>
    <row r="149" spans="1:9" ht="25.5">
      <c r="A149" s="11"/>
      <c r="B149" s="15" t="s">
        <v>97</v>
      </c>
      <c r="C149" s="29">
        <f>(649051.14+313471.04-183552.67-81935.14)-(1353115.05-146321.08)+48926+50.33+32056.62-5425.79</f>
        <v>-434152.44000000006</v>
      </c>
      <c r="D149" s="57"/>
      <c r="E149" s="54"/>
      <c r="F149" s="54"/>
      <c r="G149" s="54"/>
      <c r="H149" s="54"/>
      <c r="I149" s="54"/>
    </row>
    <row r="150" spans="1:9" ht="12.75">
      <c r="A150" s="11"/>
      <c r="B150" s="10" t="s">
        <v>6</v>
      </c>
      <c r="C150" s="40">
        <f>SUM(C137,C149)</f>
        <v>-136470.75999999966</v>
      </c>
      <c r="D150" s="50"/>
      <c r="E150" s="54"/>
      <c r="F150" s="54"/>
      <c r="G150" s="54"/>
      <c r="H150" s="54"/>
      <c r="I150" s="54"/>
    </row>
    <row r="151" spans="1:9" ht="28.5" customHeight="1" thickBot="1">
      <c r="A151" s="17"/>
      <c r="B151" s="18" t="s">
        <v>100</v>
      </c>
      <c r="C151" s="41">
        <f>C135-C150</f>
        <v>2554201.169999999</v>
      </c>
      <c r="D151" s="50"/>
      <c r="E151" s="54"/>
      <c r="F151" s="54"/>
      <c r="G151" s="54"/>
      <c r="H151" s="54"/>
      <c r="I151" s="54"/>
    </row>
    <row r="152" spans="2:9" ht="14.25" thickBot="1" thickTop="1">
      <c r="B152"/>
      <c r="C152" s="52"/>
      <c r="D152" s="57"/>
      <c r="E152" s="54"/>
      <c r="F152" s="54"/>
      <c r="G152" s="54"/>
      <c r="H152" s="54"/>
      <c r="I152" s="54"/>
    </row>
    <row r="153" spans="1:9" ht="13.5" thickTop="1">
      <c r="A153" s="6"/>
      <c r="B153" s="24" t="s">
        <v>9</v>
      </c>
      <c r="C153" s="30"/>
      <c r="D153" s="57"/>
      <c r="E153" s="54"/>
      <c r="F153" s="54"/>
      <c r="G153" s="54"/>
      <c r="H153" s="54"/>
      <c r="I153" s="54"/>
    </row>
    <row r="154" spans="1:9" ht="12.75">
      <c r="A154" s="11"/>
      <c r="B154" s="34" t="s">
        <v>4</v>
      </c>
      <c r="C154" s="29"/>
      <c r="D154" s="57"/>
      <c r="E154" s="54"/>
      <c r="F154" s="54"/>
      <c r="G154" s="54"/>
      <c r="H154" s="54"/>
      <c r="I154" s="54"/>
    </row>
    <row r="155" spans="1:9" ht="12.75">
      <c r="A155" s="11"/>
      <c r="B155" s="20" t="s">
        <v>89</v>
      </c>
      <c r="C155" s="40">
        <f>SUM(C156,-C157,C158,-C159,C160,-C162,C163)</f>
        <v>976235.78</v>
      </c>
      <c r="D155" s="50"/>
      <c r="E155" s="54"/>
      <c r="F155" s="54"/>
      <c r="G155" s="54"/>
      <c r="H155" s="54"/>
      <c r="I155" s="54"/>
    </row>
    <row r="156" spans="1:9" ht="12.75">
      <c r="A156" s="11"/>
      <c r="B156" s="15" t="s">
        <v>88</v>
      </c>
      <c r="C156" s="29">
        <f>1370276.88</f>
        <v>1370276.88</v>
      </c>
      <c r="D156" s="36"/>
      <c r="E156" s="56"/>
      <c r="F156" s="56"/>
      <c r="G156" s="54"/>
      <c r="H156" s="54"/>
      <c r="I156" s="54"/>
    </row>
    <row r="157" spans="1:9" ht="12.75">
      <c r="A157" s="11"/>
      <c r="B157" s="15" t="s">
        <v>90</v>
      </c>
      <c r="C157" s="29">
        <f>615880.57+36200+1650.14</f>
        <v>653730.71</v>
      </c>
      <c r="D157" s="36"/>
      <c r="E157" s="54"/>
      <c r="F157" s="54"/>
      <c r="G157" s="54"/>
      <c r="H157" s="54"/>
      <c r="I157" s="54"/>
    </row>
    <row r="158" spans="1:9" ht="12.75">
      <c r="A158" s="11"/>
      <c r="B158" s="15" t="s">
        <v>112</v>
      </c>
      <c r="C158" s="29">
        <f>529679.31</f>
        <v>529679.31</v>
      </c>
      <c r="D158" s="36"/>
      <c r="E158" s="54"/>
      <c r="F158" s="54"/>
      <c r="G158" s="54"/>
      <c r="H158" s="54"/>
      <c r="I158" s="54"/>
    </row>
    <row r="159" spans="1:9" ht="12.75">
      <c r="A159" s="11"/>
      <c r="B159" s="15" t="s">
        <v>98</v>
      </c>
      <c r="C159" s="29">
        <f>255109.37</f>
        <v>255109.37</v>
      </c>
      <c r="D159" s="36"/>
      <c r="E159" s="56"/>
      <c r="F159" s="54"/>
      <c r="G159" s="54"/>
      <c r="H159" s="54"/>
      <c r="I159" s="54"/>
    </row>
    <row r="160" spans="1:9" ht="12.75">
      <c r="A160" s="11"/>
      <c r="B160" s="15" t="s">
        <v>91</v>
      </c>
      <c r="C160" s="29">
        <f>301463.41</f>
        <v>301463.41</v>
      </c>
      <c r="D160" s="36"/>
      <c r="E160" s="56"/>
      <c r="F160" s="54"/>
      <c r="G160" s="54"/>
      <c r="H160" s="54"/>
      <c r="I160" s="54"/>
    </row>
    <row r="161" spans="1:9" ht="12.75">
      <c r="A161" s="11"/>
      <c r="B161" s="15" t="s">
        <v>84</v>
      </c>
      <c r="C161" s="29"/>
      <c r="D161" s="57"/>
      <c r="E161" s="54"/>
      <c r="F161" s="54"/>
      <c r="G161" s="54"/>
      <c r="H161" s="54"/>
      <c r="I161" s="54"/>
    </row>
    <row r="162" spans="1:9" ht="12.75">
      <c r="A162" s="11"/>
      <c r="B162" s="15" t="s">
        <v>117</v>
      </c>
      <c r="C162" s="29">
        <f>604955.45</f>
        <v>604955.45</v>
      </c>
      <c r="D162" s="36"/>
      <c r="E162" s="54"/>
      <c r="F162" s="54"/>
      <c r="G162" s="54"/>
      <c r="H162" s="54"/>
      <c r="I162" s="54"/>
    </row>
    <row r="163" spans="1:9" ht="12.75">
      <c r="A163" s="11"/>
      <c r="B163" s="15" t="s">
        <v>98</v>
      </c>
      <c r="C163" s="29">
        <f>288611.71</f>
        <v>288611.71</v>
      </c>
      <c r="D163" s="36"/>
      <c r="E163" s="56"/>
      <c r="F163" s="54"/>
      <c r="G163" s="56"/>
      <c r="H163" s="54"/>
      <c r="I163" s="54"/>
    </row>
    <row r="164" spans="1:9" ht="12.75">
      <c r="A164" s="11"/>
      <c r="B164" s="15" t="s">
        <v>92</v>
      </c>
      <c r="C164" s="29">
        <f>276319.15</f>
        <v>276319.15</v>
      </c>
      <c r="D164" s="36"/>
      <c r="E164" s="54"/>
      <c r="F164" s="54"/>
      <c r="G164" s="54"/>
      <c r="H164" s="54"/>
      <c r="I164" s="54"/>
    </row>
    <row r="165" spans="1:9" ht="12.75">
      <c r="A165" s="11"/>
      <c r="B165" s="10" t="s">
        <v>8</v>
      </c>
      <c r="C165" s="40">
        <f>SUM(C155,C164)</f>
        <v>1252554.9300000002</v>
      </c>
      <c r="D165" s="50"/>
      <c r="E165" s="54"/>
      <c r="F165" s="54"/>
      <c r="G165" s="54"/>
      <c r="H165" s="54"/>
      <c r="I165" s="54"/>
    </row>
    <row r="166" spans="1:9" ht="12.75">
      <c r="A166" s="11"/>
      <c r="B166" s="34" t="s">
        <v>5</v>
      </c>
      <c r="C166" s="29"/>
      <c r="D166" s="57"/>
      <c r="E166" s="54"/>
      <c r="F166" s="54"/>
      <c r="G166" s="54"/>
      <c r="H166" s="54"/>
      <c r="I166" s="54"/>
    </row>
    <row r="167" spans="1:9" ht="12.75">
      <c r="A167" s="11"/>
      <c r="B167" s="14" t="s">
        <v>94</v>
      </c>
      <c r="C167" s="40">
        <f>SUM(C168,-C169,C170,-C171,C172,-C173,-C175,C176,-C177,C178)</f>
        <v>409844.35999999987</v>
      </c>
      <c r="D167" s="50"/>
      <c r="E167" s="54"/>
      <c r="F167" s="54"/>
      <c r="G167" s="54"/>
      <c r="H167" s="54"/>
      <c r="I167" s="54"/>
    </row>
    <row r="168" spans="1:9" ht="12.75">
      <c r="A168" s="11"/>
      <c r="B168" s="15" t="s">
        <v>93</v>
      </c>
      <c r="C168" s="29">
        <f>531068.7</f>
        <v>531068.7</v>
      </c>
      <c r="D168" s="36"/>
      <c r="E168" s="56"/>
      <c r="F168" s="56"/>
      <c r="G168" s="54"/>
      <c r="H168" s="54"/>
      <c r="I168" s="54"/>
    </row>
    <row r="169" spans="1:9" ht="12.75">
      <c r="A169" s="11"/>
      <c r="B169" s="15" t="s">
        <v>98</v>
      </c>
      <c r="C169" s="29">
        <f>229624.8</f>
        <v>229624.8</v>
      </c>
      <c r="D169" s="36"/>
      <c r="E169" s="57"/>
      <c r="F169" s="57"/>
      <c r="G169" s="56"/>
      <c r="H169" s="54"/>
      <c r="I169" s="54"/>
    </row>
    <row r="170" spans="1:9" ht="12.75">
      <c r="A170" s="11"/>
      <c r="B170" s="15" t="s">
        <v>114</v>
      </c>
      <c r="C170" s="29">
        <f>2077665</f>
        <v>2077665</v>
      </c>
      <c r="D170" s="36"/>
      <c r="E170" s="56"/>
      <c r="F170" s="54"/>
      <c r="G170" s="54"/>
      <c r="H170" s="54"/>
      <c r="I170" s="54"/>
    </row>
    <row r="171" spans="1:9" ht="12.75">
      <c r="A171" s="11"/>
      <c r="B171" s="15" t="s">
        <v>98</v>
      </c>
      <c r="C171" s="29">
        <f>958251.75</f>
        <v>958251.75</v>
      </c>
      <c r="D171" s="36"/>
      <c r="E171" s="56"/>
      <c r="F171" s="56"/>
      <c r="G171" s="56"/>
      <c r="H171" s="56"/>
      <c r="I171" s="54"/>
    </row>
    <row r="172" spans="1:9" ht="12.75">
      <c r="A172" s="11"/>
      <c r="B172" s="15" t="s">
        <v>118</v>
      </c>
      <c r="C172" s="29">
        <f>0</f>
        <v>0</v>
      </c>
      <c r="D172" s="36"/>
      <c r="E172" s="54"/>
      <c r="F172" s="54"/>
      <c r="G172" s="54"/>
      <c r="H172" s="54"/>
      <c r="I172" s="54"/>
    </row>
    <row r="173" spans="1:9" ht="12.75">
      <c r="A173" s="11"/>
      <c r="B173" s="15" t="s">
        <v>98</v>
      </c>
      <c r="C173" s="29">
        <f>0</f>
        <v>0</v>
      </c>
      <c r="D173" s="36"/>
      <c r="E173" s="56"/>
      <c r="F173" s="56"/>
      <c r="G173" s="54"/>
      <c r="H173" s="54"/>
      <c r="I173" s="54"/>
    </row>
    <row r="174" spans="1:9" ht="12.75">
      <c r="A174" s="11"/>
      <c r="B174" s="15" t="s">
        <v>84</v>
      </c>
      <c r="C174" s="29"/>
      <c r="D174" s="57"/>
      <c r="E174" s="54"/>
      <c r="F174" s="54"/>
      <c r="G174" s="56"/>
      <c r="H174" s="54"/>
      <c r="I174" s="54"/>
    </row>
    <row r="175" spans="1:9" ht="12.75">
      <c r="A175" s="11"/>
      <c r="B175" s="15" t="s">
        <v>107</v>
      </c>
      <c r="C175" s="29">
        <f>1879054</f>
        <v>1879054</v>
      </c>
      <c r="D175" s="36"/>
      <c r="E175" s="54"/>
      <c r="F175" s="56"/>
      <c r="G175" s="56"/>
      <c r="H175" s="56"/>
      <c r="I175" s="54"/>
    </row>
    <row r="176" spans="1:9" ht="12.75">
      <c r="A176" s="11"/>
      <c r="B176" s="15" t="s">
        <v>98</v>
      </c>
      <c r="C176" s="29">
        <f>868041.21</f>
        <v>868041.21</v>
      </c>
      <c r="D176" s="36"/>
      <c r="E176" s="56"/>
      <c r="F176" s="56"/>
      <c r="G176" s="56"/>
      <c r="H176" s="54"/>
      <c r="I176" s="54"/>
    </row>
    <row r="177" spans="1:9" ht="12.75">
      <c r="A177" s="11"/>
      <c r="B177" s="15" t="s">
        <v>108</v>
      </c>
      <c r="C177" s="29">
        <f>0</f>
        <v>0</v>
      </c>
      <c r="D177" s="36"/>
      <c r="E177" s="54"/>
      <c r="F177" s="54"/>
      <c r="G177" s="56"/>
      <c r="H177" s="54"/>
      <c r="I177" s="54"/>
    </row>
    <row r="178" spans="1:9" ht="12.75">
      <c r="A178" s="11"/>
      <c r="B178" s="15" t="s">
        <v>98</v>
      </c>
      <c r="C178" s="29">
        <f>0</f>
        <v>0</v>
      </c>
      <c r="D178" s="36"/>
      <c r="E178" s="56"/>
      <c r="F178" s="56"/>
      <c r="G178" s="56"/>
      <c r="H178" s="54"/>
      <c r="I178" s="54"/>
    </row>
    <row r="179" spans="1:9" ht="12.75">
      <c r="A179" s="11"/>
      <c r="B179" s="15" t="s">
        <v>95</v>
      </c>
      <c r="C179" s="29">
        <f>81935.14+29979.79-34415.3-146321.08</f>
        <v>-68821.45</v>
      </c>
      <c r="D179" s="57"/>
      <c r="E179" s="54"/>
      <c r="F179" s="54"/>
      <c r="G179" s="54"/>
      <c r="H179" s="54"/>
      <c r="I179" s="54"/>
    </row>
    <row r="180" spans="1:9" ht="12.75">
      <c r="A180" s="11"/>
      <c r="B180" s="10" t="s">
        <v>6</v>
      </c>
      <c r="C180" s="40">
        <f>SUM(C167,C179)</f>
        <v>341022.90999999986</v>
      </c>
      <c r="D180" s="50"/>
      <c r="E180" s="54"/>
      <c r="F180" s="54"/>
      <c r="G180" s="54"/>
      <c r="H180" s="54"/>
      <c r="I180" s="54"/>
    </row>
    <row r="181" spans="1:9" ht="26.25" thickBot="1">
      <c r="A181" s="17"/>
      <c r="B181" s="18" t="s">
        <v>99</v>
      </c>
      <c r="C181" s="41">
        <f>C165-C180</f>
        <v>911532.0200000003</v>
      </c>
      <c r="D181" s="50"/>
      <c r="E181" s="54"/>
      <c r="F181" s="54"/>
      <c r="G181" s="54"/>
      <c r="H181" s="54"/>
      <c r="I181" s="54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3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3"/>
    </row>
    <row r="186" spans="1:4" ht="12.75">
      <c r="A186" s="2"/>
      <c r="B186" s="35"/>
      <c r="C186" s="36"/>
      <c r="D186" s="3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.75">
      <c r="B191"/>
      <c r="D191" s="3"/>
    </row>
    <row r="192" spans="2:4" ht="15.75">
      <c r="B192" s="38" t="s">
        <v>129</v>
      </c>
      <c r="D192" s="3"/>
    </row>
    <row r="193" spans="2:4" ht="12.75">
      <c r="B193"/>
      <c r="D193" s="3"/>
    </row>
    <row r="194" spans="2:4" ht="12.75">
      <c r="B194"/>
      <c r="D194" s="3"/>
    </row>
    <row r="195" spans="2:4" ht="12.75">
      <c r="B195"/>
      <c r="D195" s="3"/>
    </row>
    <row r="196" spans="2:4" ht="12.75">
      <c r="B196"/>
      <c r="D196" s="3"/>
    </row>
    <row r="197" spans="2:4" ht="12.75">
      <c r="B197"/>
      <c r="D197" s="3"/>
    </row>
    <row r="198" spans="2:4" ht="12.75">
      <c r="B198"/>
      <c r="D198" s="3"/>
    </row>
    <row r="199" spans="2:4" ht="12.75">
      <c r="B199"/>
      <c r="D199" s="3"/>
    </row>
    <row r="200" spans="2:4" ht="15.75">
      <c r="B200" s="38" t="s">
        <v>127</v>
      </c>
      <c r="C200" s="37"/>
      <c r="D200" s="3"/>
    </row>
    <row r="201" spans="2:4" ht="15.75">
      <c r="B201" s="38" t="s">
        <v>128</v>
      </c>
      <c r="C201" s="37"/>
      <c r="D201" s="3"/>
    </row>
    <row r="202" spans="2:4" ht="12.75">
      <c r="B202"/>
      <c r="D202" s="3"/>
    </row>
    <row r="203" spans="2:4" ht="12.75">
      <c r="B203"/>
      <c r="D203" s="3"/>
    </row>
    <row r="204" spans="2:4" ht="12.75">
      <c r="B204"/>
      <c r="D204" s="3"/>
    </row>
    <row r="205" spans="2:4" ht="12.75">
      <c r="B205"/>
      <c r="D205" s="3"/>
    </row>
    <row r="206" spans="2:4" ht="12.75">
      <c r="B206"/>
      <c r="D206" s="3"/>
    </row>
    <row r="207" spans="2:4" ht="12.75">
      <c r="B207"/>
      <c r="D207" s="3"/>
    </row>
    <row r="208" spans="2:4" ht="12.75">
      <c r="B208"/>
      <c r="D208" s="3"/>
    </row>
    <row r="209" spans="2:4" ht="12.75">
      <c r="B209"/>
      <c r="D209" s="3"/>
    </row>
    <row r="210" spans="2:4" ht="15.75">
      <c r="B210" s="38" t="s">
        <v>131</v>
      </c>
      <c r="C210" s="37"/>
      <c r="D210" s="3"/>
    </row>
    <row r="211" spans="2:4" ht="12.75">
      <c r="B211"/>
      <c r="D211" s="3"/>
    </row>
    <row r="212" spans="2:4" ht="12.75">
      <c r="B212"/>
      <c r="D212" s="3"/>
    </row>
    <row r="213" spans="2:4" ht="12.75">
      <c r="B213"/>
      <c r="D213" s="3"/>
    </row>
    <row r="214" spans="2:4" ht="12.75">
      <c r="B214"/>
      <c r="D214" s="3"/>
    </row>
    <row r="215" spans="2:4" ht="12.75">
      <c r="B215"/>
      <c r="D215" s="3"/>
    </row>
    <row r="216" spans="2:4" ht="12.75">
      <c r="B216"/>
      <c r="D216" s="3"/>
    </row>
    <row r="217" spans="2:4" ht="12.75">
      <c r="B217"/>
      <c r="D217" s="1"/>
    </row>
    <row r="218" spans="2:4" ht="15.75">
      <c r="B218" s="38" t="s">
        <v>130</v>
      </c>
      <c r="C218" s="37"/>
      <c r="D218" s="1"/>
    </row>
    <row r="219" spans="1:4" ht="15.7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10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PETERSIR</cp:lastModifiedBy>
  <cp:lastPrinted>2011-02-25T11:20:22Z</cp:lastPrinted>
  <dcterms:created xsi:type="dcterms:W3CDTF">2004-03-08T09:26:50Z</dcterms:created>
  <dcterms:modified xsi:type="dcterms:W3CDTF">2011-02-28T16:12:39Z</dcterms:modified>
  <cp:category/>
  <cp:version/>
  <cp:contentType/>
  <cp:contentStatus/>
</cp:coreProperties>
</file>