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31-12-2012" sheetId="1" r:id="rId1"/>
  </sheets>
  <definedNames>
    <definedName name="_xlnm.Print_Area" localSheetId="0">('31-12-2012'!$A$1:$C$44,'31-12-2012'!$A$46:$C$121,'31-12-2012'!$A$123:$C$151,'31-12-2012'!$A$153:$C$232)</definedName>
  </definedNames>
  <calcPr fullCalcOnLoad="1"/>
</workbook>
</file>

<file path=xl/sharedStrings.xml><?xml version="1.0" encoding="utf-8"?>
<sst xmlns="http://schemas.openxmlformats.org/spreadsheetml/2006/main" count="197" uniqueCount="136">
  <si>
    <t>ΕΠΩΝΥΜΙΑ ΕΠΙΧΕΙΡΗΣΗΣ : ΟΡΙΖΩΝ ΑΝΩΝΥΜΗ ΕΤΑΙΡΙΑ ΓΕΝΙΚΩΝ ΑΣΦΑΛΙΣΕΩΝ</t>
  </si>
  <si>
    <t>ΑΡ.Μ.Α.Ε : 12877/05/Β/86/57</t>
  </si>
  <si>
    <t>ΣΥΝΟΠΤΙΚΗ ΟΙΚΟΝΟΜΙΚΗ ΚΑΤΑΣΤΑΣΗ ΤΗΣ 31ης ΔΕΚΕΜΒΡΙΟΥ 2012</t>
  </si>
  <si>
    <t>ΚΑΤΑΣΤΑΣΗ ΙΣΟΛΟΓΙΣΜΟΥ ΤΗΣ ΠΕΡΙΟΔΟΥ 01/01/2012 - 31/12/2012</t>
  </si>
  <si>
    <t>ΕΝΕΡΓΗΤΙΚΟ</t>
  </si>
  <si>
    <t>Συνολικά Ποσά</t>
  </si>
  <si>
    <t>A</t>
  </si>
  <si>
    <t xml:space="preserve">ΟΦΕΙΛΟΜΕΝΟ ΚΕΦΑΛΑΙΟ </t>
  </si>
  <si>
    <t>Οφειλόμενο Κεφάλαιο (από το οποίο έχει κληθεί να καταβληθεί στις επόμενες χρήσεις ποσό σε Ευρώ)</t>
  </si>
  <si>
    <t>Β</t>
  </si>
  <si>
    <t>EΞΟΔΑ ΕΓΚΑΤΑΣΤΑΣΗΣ ΚΑΙ ΑΫΛΑ ΣΤΟΙΧΕΙΑ</t>
  </si>
  <si>
    <t>Έξοδα Εγκατάστασης και Αϋλα Στοιχεία</t>
  </si>
  <si>
    <t>Μείον: Αποσβέσεις</t>
  </si>
  <si>
    <t>Γ</t>
  </si>
  <si>
    <t xml:space="preserve">ΕΠΕΝΔΥΣΕΙΣ                                                      </t>
  </si>
  <si>
    <t>ΓΙ</t>
  </si>
  <si>
    <t>ΑΚΙΝΗΤΑ</t>
  </si>
  <si>
    <t>Οικόπεδα</t>
  </si>
  <si>
    <t xml:space="preserve">Κτίρια </t>
  </si>
  <si>
    <t>ΓΙΙ</t>
  </si>
  <si>
    <t>ΣΥΜΜΕΤΟΧΕΣ ΚΑΙ ΕΠΕΝΔΥΣΕΙΣ ΣΕ ΣΥΝΔΕΔΕΜΕΝΕΣ ΚΑΙ ΛΟΙΠΕΣ ΣΥΜΜΕΤΟΧΙΚΟΥ ΕΝΔΙΑΦΕΡΟΝΤΟΣ ΕΠΙΧΕΙΡΗΣΕΙΣ</t>
  </si>
  <si>
    <t>ΓΙIΙ</t>
  </si>
  <si>
    <t xml:space="preserve">ΛΟΙΠΕΣ ΧΡΗΜΑΤΟΟΙΚΟΝΟΜΙΚΕΣ ΕΠΕΝΔΥΣΕΙΣ                              </t>
  </si>
  <si>
    <t>Εισηγμένες Μετοχές σε Χρηματιστήριο της Ε.Ε και του Ε.Ο.Χ</t>
  </si>
  <si>
    <t>Μη Εισηγμένες Μετοχές σε Χρηματιστήριο της Ε.Ε και του Ε.Ο.Χ</t>
  </si>
  <si>
    <t xml:space="preserve">Ομόλογα, ομολογίες και έντοκα γραμμάτια του δημοσίου ή ν.π.δ.δ. ή δημοσίων ή δημοτικών επιχειρήσεων της Ε.Ε </t>
  </si>
  <si>
    <t>Ομόλογα, ομολογίες επιχειρήσεων, τα οποία έχουν εκδοθεί στην Ε.Ε και Ε.Ο.Χ</t>
  </si>
  <si>
    <t>Λοιπά ομόλογα και ομολογίες</t>
  </si>
  <si>
    <t>Μερίδια Αμοιβαίων Κεφαλαίων και άλλοι τίτλοι μεταβλητής απόδοσης της Ε.Ε και Ε.Ο.Χ</t>
  </si>
  <si>
    <t xml:space="preserve">Λοιπά Μερίδια Αμοιβαίων Κεφαλαίων και άλλοι τίτλοι μεταβλητής απόδοσης </t>
  </si>
  <si>
    <t>Λοιπές Επενδύσεις</t>
  </si>
  <si>
    <t>Δ</t>
  </si>
  <si>
    <t>ΕΠΕΝΔΥΣΕΙΣ ΓΙΑ ΛΟΓΑΡΙΑΣΜΟ ΑΣΦΑΛΙΣΜΕΝΩΝ</t>
  </si>
  <si>
    <t>Επενδύσεις για Λογαριασμό Ασφαλισμένων</t>
  </si>
  <si>
    <t>Ε</t>
  </si>
  <si>
    <t>ΑΠΑΙΤΗΣΕΙΣ</t>
  </si>
  <si>
    <t>Χρεώστες Ασφαλίστρων</t>
  </si>
  <si>
    <t>Χρεώστες Ασφαλίστρων Ληξιπρόθεσμων Δόσεων</t>
  </si>
  <si>
    <t>Λοιπές απαιτήσεις</t>
  </si>
  <si>
    <t>ΣΤ</t>
  </si>
  <si>
    <t>ΛΟΙΠΑ ΣΤΟΙΧΕΙΑ ΕΝΕΡΓΗΤΙΚΟΥ</t>
  </si>
  <si>
    <t>ΣΤΙ</t>
  </si>
  <si>
    <t>ΕΞΟΠΛΙΣΜΟΣ</t>
  </si>
  <si>
    <t>Εξοπλισμός και Μεταφορικά Μέσα</t>
  </si>
  <si>
    <t>ΣΤΙΙ</t>
  </si>
  <si>
    <t>ΧΡΗΜΑΤΙΚΑ ΔΙΑΘΕΣΙΜΑ</t>
  </si>
  <si>
    <t xml:space="preserve">Μετρητά στο Ταμείο </t>
  </si>
  <si>
    <t>Λοιπά Χρηματικά διαθέσιμα</t>
  </si>
  <si>
    <t>Ζ</t>
  </si>
  <si>
    <t>ΜΕΤΑΒΑΤΙΚΟΙ ΛΟΓΑΡΙΑΣΜΟΙ ΕΝΕΡΓΗΤΙΚΟΥ</t>
  </si>
  <si>
    <t>Προμήθειες παραγωγής επομένων χρήσεων (Μεταφερόμενα έξοδα πρόσκτησης)</t>
  </si>
  <si>
    <t>Λοιποί Μεταβατικοί Λογαριασμοί Ενεργητικού</t>
  </si>
  <si>
    <t>ΓΕΝΙΚΟ ΣΥΝΟΛΟ ΕΝΕΡΓΗΤΙΚΟΥ</t>
  </si>
  <si>
    <t>ΠΑΘΗΤΙΚΟ</t>
  </si>
  <si>
    <t>Α</t>
  </si>
  <si>
    <t xml:space="preserve">ΙΔΙΑ ΚΕΦΑΛΑΙΑ                                                </t>
  </si>
  <si>
    <t>KEΦΑΛΑΙΟ ΜΕΤΟΧΙΚΟ</t>
  </si>
  <si>
    <t>Καταβεβλημένο</t>
  </si>
  <si>
    <t>Οφειλόμενο</t>
  </si>
  <si>
    <t>ΑΠΟΘΕΜΑΤΙΚΑ ΚΕΦΑΛΑΙΑ</t>
  </si>
  <si>
    <t>ΑΠΟΤΕΛΕΣΜΑΤΑ ΕΙΣ ΝΕΟ</t>
  </si>
  <si>
    <t xml:space="preserve">ΑΣΦΑΛΙΣΤΙΚΕΣ ΠΡΟΒΛΕΨΕΙΣ                               </t>
  </si>
  <si>
    <t>Προβλέψεις Ασφαλίσεων Ζωής Σύνολο</t>
  </si>
  <si>
    <t>Προβλέψεις Ασφαλίσεων Ζωής της Εταιρίας</t>
  </si>
  <si>
    <t>Συμμετοχή Αντασφαλιστών</t>
  </si>
  <si>
    <t>Προβλέψεις Ασφαλίσεων Λοιπών Ζημιών (εκτός Αστικής Ευθύνης Αυτ/του) Σύνολο</t>
  </si>
  <si>
    <t>Προβλέψεις Ασφαλίσεων Λοιπών Ζημιών της Εταιρίας</t>
  </si>
  <si>
    <t>Προβλέψεις Ασφαλίσεων Αστικής Ευθύνης Αυτοκινήτου Σύνολο</t>
  </si>
  <si>
    <t>Προβλέψεις Ασφαλίσεων Αστικής Ευθύνης Αυτοκινήτου της Εταιρίας</t>
  </si>
  <si>
    <t>Προβλέψεις ασφαλίσεων ζωής που τον επενδυτικό  κίνδυνο φέρουν οι ασφαλισμένοι</t>
  </si>
  <si>
    <t>Ε &amp; ΣΤ</t>
  </si>
  <si>
    <t>ΠΡΟΒΛΕΨΕΙΣ ΓΙΑ ΚΙΝΔΥΝΟΥΣ &amp; ΕΞΟΔΑ κλ.π.</t>
  </si>
  <si>
    <t>ΥΠΟΧΡΕΩΣΕΙΣ</t>
  </si>
  <si>
    <t>Αντασφαλιστές</t>
  </si>
  <si>
    <t>Δικαιούχοι Προμηθειών Παραγωγής</t>
  </si>
  <si>
    <t>Πράκτορες &amp; Ασφαλιομεσίτες -Λογ/σμοί Μεταβ. - Γραμμάτια και Επιταγές Πληρωτέες</t>
  </si>
  <si>
    <t>Συνδεδεμένες Επιχειρήσεις και Συμμετοχικού Ενδιαφέροντος Επιχειρήσεις</t>
  </si>
  <si>
    <t>Δάνεια Μειωμένης Διασφάλισης</t>
  </si>
  <si>
    <t>Ομολογιακά Δάνεια</t>
  </si>
  <si>
    <t>Υποχρεώσεις για Φόρους και Τέλη</t>
  </si>
  <si>
    <t>Ασφαλιστικοί Οργανισμοί</t>
  </si>
  <si>
    <t>Μερίσματα Πληρωτέα</t>
  </si>
  <si>
    <t xml:space="preserve">Λοιπές υποχρεώσεις </t>
  </si>
  <si>
    <t>ΜΕΤΑΒΑΤΙΚΟΙ ΛΟΓΑΡΙΑΣΜΟΙ ΠΑΘΗΤΙΚΟΥ</t>
  </si>
  <si>
    <t xml:space="preserve">Μεταβατικοί λογαριασμοί παθητικού  </t>
  </si>
  <si>
    <t>ΓΕΝΙΚΟ ΣΥΝΟΛΟ ΠΑΘΗΤΙΚΟΥ</t>
  </si>
  <si>
    <t>ΚΑΤΑΣΤΑΣΗ  ΑΠΟΤΕΛΕΣΜΑΤΩΝ ΠΕΡΙΟΔΟΥ ( 01/01/2012 -  31/12/2012 )</t>
  </si>
  <si>
    <t>ΑΠΟΤΕΛΕΣΜΑ (ΚΕΡΔΗ – ΖΗΜΙΕΣ) ΕΚΜΕΤΑΛΛΕΥΣΗΣ ΑΣΦΑΛΙΣΕΩΝ ΖΩΗΣ</t>
  </si>
  <si>
    <t>ΑΠΟΤΕΛΕΣΜΑ (ΚΕΡΔΗ – ΖΗΜΙΕΣ) ΕΚΜΕΤΑΛΛΕΥΣΗΣ ΑΣΦΑΛΙΣΕΩΝ ΖΗΜΙΩΝ</t>
  </si>
  <si>
    <t>ΑΠΟΤΕΛΕΣΜΑ (ΚΕΡΔΗ – ΖΗΜΙΕΣ) ΕΚΜΕΤΑΛΛΕΥΣΗΣ ΑΣΦΑΛΙΣΕΩΝ ΑΣΤΙΚΗΣ ΕΥΘΥΝΗΣ ΟΧΗΜΑΤΩΝ</t>
  </si>
  <si>
    <t>ΣΥΝΟΛΙΚΑ ΑΠΟΤΕΛΕΣΜΑΤΑ  (ΚΕΡΔΗ – ΖΗΜΙΕΣ) ΕΚΜΕΤΑΛΛΕΥΣΗΣ</t>
  </si>
  <si>
    <t>ΜΕΙΟΝ</t>
  </si>
  <si>
    <t xml:space="preserve">Γενικά έξοδα </t>
  </si>
  <si>
    <t>ΚΑΘΑΡΑ ΑΠΟΤΕΛΕΣΜΑΤΑ (ΚΕΡΔΗ – ΖΗΜΙΕΣ) ΧΡΗΣΕΩΣ ΠΡΟ ΦΟΡΩΝ</t>
  </si>
  <si>
    <t>ΚΑΤΑΣΤΑΣΕΙΣ ΕΚΜΕΤΑΛΛΕΥΣΗΣ</t>
  </si>
  <si>
    <t>ΚΑΤΑΣΤΑΣΗ ΕΚΜΕΤΑΛΛΕΥΣΗΣ ΑΣΦΑΛΙΣΕΩΝ ΖΩΗΣ</t>
  </si>
  <si>
    <t>ΕΣΟΔΑ</t>
  </si>
  <si>
    <t>ΔΕΔΟΥΛΕΥΜΕΝΑ ΑΣΦΑΛΙΣΤΡΑ</t>
  </si>
  <si>
    <t>Ακαθάριστα Εγγεγραμμένα ασφάλιστρα κλειομένης περιόδου</t>
  </si>
  <si>
    <t>Μείον: Αντασφάλιστρα</t>
  </si>
  <si>
    <t xml:space="preserve">Μαθηματικές προβλέψεις προηγούμενης χρήσης 31/12 </t>
  </si>
  <si>
    <t>Μείον: Συμμετοχή Αντασφαλιστών</t>
  </si>
  <si>
    <t>Δικαιώματα Συμβολαίων κλειομένης περιόδου</t>
  </si>
  <si>
    <t>Μαθηματικές προβλέψεις κλειομένης περιόδου</t>
  </si>
  <si>
    <t>Έσοδα επενδύσεων</t>
  </si>
  <si>
    <t>ΣΥΝΟΛΟ ΕΣΟΔΩΝ</t>
  </si>
  <si>
    <t>ΕΞΟΔΑ</t>
  </si>
  <si>
    <t>ΑΣΦΑΛΙΣΤΙΚΕΣ ΑΠΟΖΗΜΙΩΣΕΙΣ</t>
  </si>
  <si>
    <t>Πληρωθείσες αποζημιώσεις και παροχές κλειομένης περιόδου</t>
  </si>
  <si>
    <t xml:space="preserve">Προβλέψεις Εκκρεμών Ζημιών κλειομένης περιόδου </t>
  </si>
  <si>
    <t xml:space="preserve">Λοιπές Ασφαλιστικές προβλέψεις κλειομένης  περιόδου </t>
  </si>
  <si>
    <t xml:space="preserve">Προβλέψεις Εκκρεμών Ζημιών προηγούμενης χρήσης 31/12 </t>
  </si>
  <si>
    <t>Λοιπές Ασφαλιστικές προβλέψεις προηγούμενης χρήσης 31/12</t>
  </si>
  <si>
    <t>Δεδουλευμένες Προμήθειες Παραγωγής και λοιπά Έξοδα Πρόσκτησης</t>
  </si>
  <si>
    <t>ΣΥΝΟΛΟ ΕΞΟΔΩΝ</t>
  </si>
  <si>
    <t>ΤΕΧΝΙΚΟ ΑΠΟΤΕΛΕΣΜΑ (ΚΕΡΔΗ – ΖΗΜΙΕΣ) ΑΣΦΑΛΙΣΕΩΝ ΖΩΗΣ</t>
  </si>
  <si>
    <t>ΚΑΤΑΣΤΑΣΗ ΕΚΜΕΤΑΛΛΕΥΣΗΣ ΑΣΦΑΛΙΣΕΩΝ ΛΟΙΠΩΝ ΖΗΜΙΩΝ</t>
  </si>
  <si>
    <t xml:space="preserve">Προβλέψεις για μη δεδουλευμένα ασφάλιστρα προηγούμενης χρήσης 31/12 </t>
  </si>
  <si>
    <t xml:space="preserve">Προβλέψεις για μη δεδουλευμένα ασφάλιστρα κλειομένης περιόδου </t>
  </si>
  <si>
    <t xml:space="preserve">Προβλέψεις Εκκρεμών Ζημιών κλειομένης περιόδου  </t>
  </si>
  <si>
    <t>Προβλέψεις Εκκρεμών Ζημιών προηγούμενης χρήσης 31/12</t>
  </si>
  <si>
    <t xml:space="preserve">Λοιπές Ασφαλιστικές Προβλέψεις προηγούμενης χρήσης 31/12 </t>
  </si>
  <si>
    <t>Δεδουλευμένες Προμήθειες Παραγωγής και λοιπά Έξοδα Πρόσκτησης, κλειομένης περιόδου</t>
  </si>
  <si>
    <t>ΤΕΧΝΙΚΟ ΑΠΟΤΕΛΕΣΜΑ (ΚΕΡΔΗ – ΖΗΜΙΕΣ) ΑΣΦΑΛΙΣΕΩΝ ΛΟΙΠΩΝ ΖΗΜΙΩΝ</t>
  </si>
  <si>
    <t>ΚΑΤΑΣΤΑΣΗ ΕΚΜΕΤΑΛΛΕΥΣΗΣ ΑΣΦΑΛΙΣΕΩΝ ΑΣΤΙΚΗΣ ΕΥΘΥΝΗΣ ΟΧΗΜΑΤΩΝ</t>
  </si>
  <si>
    <t>Προβλέψεις για μη δεδουλευμένα ασφάλιστρα κλειομένης περιόδου</t>
  </si>
  <si>
    <t xml:space="preserve">Λοιπές Ασφαλιστικές προβλέψεις κλειομένης περιόδου </t>
  </si>
  <si>
    <t>ΤΕΧΝΙΚΟ ΑΠΟΤΕΛΕΣΜΑ (ΚΕΡΔΗ – ΖΗΜΙΕΣ) ΑΣΦΑΛΙΣΕΩΝ ΑΣΤΙΚΗΣ ΕΥΘΥΝΗΣ ΟΧΗΜΑΤΩΝ</t>
  </si>
  <si>
    <t>Ο ΠΡΟΕΔΡΟΣ ΤΟΥ Δ.Σ.                                     Ο ΔΙΕΥΘΥΝΩΝ ΣΥΜΒΟΥΛΟΣ</t>
  </si>
  <si>
    <t xml:space="preserve"> ΓΕΩΡΓΙΟΣ  Χ. ΑΧΗΣ                                                   ΘΕΟΔΩΡΟΣ Χ. ΑΧΗΣ</t>
  </si>
  <si>
    <t xml:space="preserve">      ΑΔΤ. Π 269315                                                           ΑΔΤ. Φ 020485  </t>
  </si>
  <si>
    <t xml:space="preserve">Ο ΟΙΚΟΝΟΜΙΚΟΣ ΔΙΕΥΘΥΝΤΗΣ                                      Ο ΑΝΑΛΟΓΙΣΤΗΣ  </t>
  </si>
  <si>
    <t xml:space="preserve">           ΠΕΤΡΟΣ  Μ. ΣΙΡΑΓΑΣ                                     ΝΙΚΟΛΑΟΣ ΧΑΛΚΙΟΠΟΥΛΟΣ</t>
  </si>
  <si>
    <t xml:space="preserve">              ΑΔΤ. Φ 133520   </t>
  </si>
  <si>
    <t xml:space="preserve">                ΑΔΤ. Φ 133520                                                       ΑΔΤ.  ΑΗ 105272</t>
  </si>
  <si>
    <t xml:space="preserve">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</si>
</sst>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@"/>
    <numFmt numFmtId="167" formatCode="0.00%"/>
  </numFmts>
  <fonts count="11">
    <font>
      <sz val="10"/>
      <name val="Arial Greek"/>
      <family val="2"/>
    </font>
    <font>
      <sz val="10"/>
      <name val="Arial"/>
      <family val="0"/>
    </font>
    <font>
      <b/>
      <sz val="10"/>
      <color indexed="18"/>
      <name val="Arial Greek"/>
      <family val="2"/>
    </font>
    <font>
      <b/>
      <sz val="10"/>
      <name val="Arial Greek"/>
      <family val="2"/>
    </font>
    <font>
      <b/>
      <i/>
      <sz val="10"/>
      <color indexed="18"/>
      <name val="Arial Greek"/>
      <family val="2"/>
    </font>
    <font>
      <sz val="10"/>
      <color indexed="18"/>
      <name val="Arial Greek"/>
      <family val="2"/>
    </font>
    <font>
      <i/>
      <sz val="10"/>
      <color indexed="18"/>
      <name val="Arial Greek"/>
      <family val="2"/>
    </font>
    <font>
      <sz val="10"/>
      <color indexed="12"/>
      <name val="Arial Greek"/>
      <family val="2"/>
    </font>
    <font>
      <sz val="10"/>
      <color indexed="10"/>
      <name val="Arial Greek"/>
      <family val="2"/>
    </font>
    <font>
      <b/>
      <sz val="12"/>
      <name val="Arial Greek"/>
      <family val="2"/>
    </font>
    <font>
      <sz val="11"/>
      <name val="Arial Greek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double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double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double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0" fillId="0" borderId="0" xfId="0" applyAlignment="1">
      <alignment wrapText="1"/>
    </xf>
    <xf numFmtId="165" fontId="0" fillId="0" borderId="0" xfId="0" applyNumberFormat="1" applyAlignment="1">
      <alignment/>
    </xf>
    <xf numFmtId="166" fontId="2" fillId="0" borderId="0" xfId="0" applyNumberFormat="1" applyFont="1" applyFill="1" applyBorder="1" applyAlignment="1">
      <alignment horizontal="left" wrapText="1"/>
    </xf>
    <xf numFmtId="164" fontId="0" fillId="0" borderId="0" xfId="0" applyFont="1" applyAlignment="1">
      <alignment wrapText="1"/>
    </xf>
    <xf numFmtId="165" fontId="3" fillId="0" borderId="0" xfId="0" applyNumberFormat="1" applyFont="1" applyAlignment="1">
      <alignment horizontal="center"/>
    </xf>
    <xf numFmtId="164" fontId="0" fillId="0" borderId="0" xfId="0" applyBorder="1" applyAlignment="1">
      <alignment/>
    </xf>
    <xf numFmtId="164" fontId="0" fillId="0" borderId="0" xfId="0" applyBorder="1" applyAlignment="1">
      <alignment wrapText="1"/>
    </xf>
    <xf numFmtId="165" fontId="0" fillId="0" borderId="0" xfId="0" applyNumberFormat="1" applyBorder="1" applyAlignment="1">
      <alignment/>
    </xf>
    <xf numFmtId="164" fontId="0" fillId="0" borderId="1" xfId="0" applyBorder="1" applyAlignment="1">
      <alignment/>
    </xf>
    <xf numFmtId="166" fontId="4" fillId="0" borderId="2" xfId="0" applyNumberFormat="1" applyFont="1" applyFill="1" applyBorder="1" applyAlignment="1">
      <alignment horizontal="left" wrapText="1"/>
    </xf>
    <xf numFmtId="165" fontId="2" fillId="0" borderId="3" xfId="0" applyNumberFormat="1" applyFont="1" applyFill="1" applyBorder="1" applyAlignment="1">
      <alignment horizontal="center" wrapText="1"/>
    </xf>
    <xf numFmtId="166" fontId="4" fillId="0" borderId="4" xfId="0" applyNumberFormat="1" applyFont="1" applyFill="1" applyBorder="1" applyAlignment="1">
      <alignment horizontal="left"/>
    </xf>
    <xf numFmtId="166" fontId="4" fillId="0" borderId="5" xfId="0" applyNumberFormat="1" applyFont="1" applyFill="1" applyBorder="1" applyAlignment="1">
      <alignment horizontal="left" wrapText="1"/>
    </xf>
    <xf numFmtId="165" fontId="5" fillId="0" borderId="6" xfId="0" applyNumberFormat="1" applyFont="1" applyFill="1" applyBorder="1" applyAlignment="1">
      <alignment horizontal="right" wrapText="1"/>
    </xf>
    <xf numFmtId="164" fontId="0" fillId="0" borderId="4" xfId="0" applyBorder="1" applyAlignment="1">
      <alignment/>
    </xf>
    <xf numFmtId="166" fontId="0" fillId="0" borderId="5" xfId="0" applyNumberFormat="1" applyFont="1" applyFill="1" applyBorder="1" applyAlignment="1">
      <alignment wrapText="1"/>
    </xf>
    <xf numFmtId="165" fontId="0" fillId="0" borderId="6" xfId="0" applyNumberFormat="1" applyBorder="1" applyAlignment="1">
      <alignment/>
    </xf>
    <xf numFmtId="165" fontId="5" fillId="0" borderId="0" xfId="0" applyNumberFormat="1" applyFont="1" applyFill="1" applyBorder="1" applyAlignment="1">
      <alignment horizontal="right" wrapText="1"/>
    </xf>
    <xf numFmtId="166" fontId="6" fillId="0" borderId="4" xfId="0" applyNumberFormat="1" applyFont="1" applyFill="1" applyBorder="1" applyAlignment="1">
      <alignment horizontal="left" wrapText="1"/>
    </xf>
    <xf numFmtId="166" fontId="6" fillId="0" borderId="5" xfId="0" applyNumberFormat="1" applyFont="1" applyFill="1" applyBorder="1" applyAlignment="1">
      <alignment horizontal="left" wrapText="1"/>
    </xf>
    <xf numFmtId="164" fontId="0" fillId="0" borderId="5" xfId="0" applyFont="1" applyBorder="1" applyAlignment="1">
      <alignment wrapText="1"/>
    </xf>
    <xf numFmtId="166" fontId="6" fillId="0" borderId="4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>
      <alignment/>
    </xf>
    <xf numFmtId="164" fontId="0" fillId="0" borderId="7" xfId="0" applyBorder="1" applyAlignment="1">
      <alignment/>
    </xf>
    <xf numFmtId="166" fontId="4" fillId="0" borderId="8" xfId="0" applyNumberFormat="1" applyFont="1" applyFill="1" applyBorder="1" applyAlignment="1">
      <alignment horizontal="left" wrapText="1"/>
    </xf>
    <xf numFmtId="165" fontId="5" fillId="0" borderId="9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165" fontId="0" fillId="0" borderId="10" xfId="0" applyNumberFormat="1" applyBorder="1" applyAlignment="1">
      <alignment/>
    </xf>
    <xf numFmtId="166" fontId="4" fillId="0" borderId="2" xfId="0" applyNumberFormat="1" applyFont="1" applyFill="1" applyBorder="1" applyAlignment="1">
      <alignment horizontal="left"/>
    </xf>
    <xf numFmtId="165" fontId="0" fillId="0" borderId="3" xfId="0" applyNumberFormat="1" applyBorder="1" applyAlignment="1">
      <alignment/>
    </xf>
    <xf numFmtId="164" fontId="3" fillId="0" borderId="4" xfId="0" applyFont="1" applyBorder="1" applyAlignment="1">
      <alignment/>
    </xf>
    <xf numFmtId="165" fontId="0" fillId="0" borderId="6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 horizontal="right" wrapText="1"/>
    </xf>
    <xf numFmtId="166" fontId="4" fillId="0" borderId="4" xfId="0" applyNumberFormat="1" applyFont="1" applyFill="1" applyBorder="1" applyAlignment="1">
      <alignment horizontal="left" wrapText="1"/>
    </xf>
    <xf numFmtId="165" fontId="0" fillId="0" borderId="11" xfId="0" applyNumberFormat="1" applyBorder="1" applyAlignment="1">
      <alignment/>
    </xf>
    <xf numFmtId="166" fontId="6" fillId="0" borderId="2" xfId="0" applyNumberFormat="1" applyFont="1" applyFill="1" applyBorder="1" applyAlignment="1">
      <alignment horizontal="left" wrapText="1"/>
    </xf>
    <xf numFmtId="165" fontId="5" fillId="0" borderId="3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65" fontId="5" fillId="0" borderId="6" xfId="0" applyNumberFormat="1" applyFont="1" applyBorder="1" applyAlignment="1">
      <alignment/>
    </xf>
    <xf numFmtId="166" fontId="0" fillId="0" borderId="5" xfId="0" applyNumberFormat="1" applyFont="1" applyFill="1" applyBorder="1" applyAlignment="1">
      <alignment horizontal="left" wrapText="1"/>
    </xf>
    <xf numFmtId="165" fontId="5" fillId="0" borderId="9" xfId="0" applyNumberFormat="1" applyFont="1" applyBorder="1" applyAlignment="1">
      <alignment/>
    </xf>
    <xf numFmtId="166" fontId="2" fillId="0" borderId="2" xfId="0" applyNumberFormat="1" applyFont="1" applyFill="1" applyBorder="1" applyAlignment="1">
      <alignment horizontal="left" wrapText="1"/>
    </xf>
    <xf numFmtId="166" fontId="2" fillId="0" borderId="5" xfId="0" applyNumberFormat="1" applyFont="1" applyFill="1" applyBorder="1" applyAlignment="1">
      <alignment horizontal="left" wrapText="1"/>
    </xf>
    <xf numFmtId="166" fontId="5" fillId="0" borderId="5" xfId="0" applyNumberFormat="1" applyFont="1" applyFill="1" applyBorder="1" applyAlignment="1">
      <alignment horizontal="left" wrapText="1"/>
    </xf>
    <xf numFmtId="165" fontId="7" fillId="0" borderId="6" xfId="0" applyNumberFormat="1" applyFont="1" applyFill="1" applyBorder="1" applyAlignment="1">
      <alignment/>
    </xf>
    <xf numFmtId="164" fontId="0" fillId="0" borderId="0" xfId="0" applyFill="1" applyAlignment="1">
      <alignment/>
    </xf>
    <xf numFmtId="164" fontId="0" fillId="0" borderId="0" xfId="0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165" fontId="0" fillId="0" borderId="6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165" fontId="7" fillId="0" borderId="9" xfId="0" applyNumberFormat="1" applyFont="1" applyFill="1" applyBorder="1" applyAlignment="1">
      <alignment/>
    </xf>
    <xf numFmtId="164" fontId="0" fillId="0" borderId="12" xfId="0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Fill="1" applyBorder="1" applyAlignment="1">
      <alignment wrapText="1"/>
    </xf>
    <xf numFmtId="164" fontId="0" fillId="0" borderId="0" xfId="0" applyFill="1" applyBorder="1" applyAlignment="1">
      <alignment wrapText="1"/>
    </xf>
    <xf numFmtId="165" fontId="8" fillId="0" borderId="0" xfId="0" applyNumberFormat="1" applyFont="1" applyFill="1" applyAlignment="1">
      <alignment/>
    </xf>
    <xf numFmtId="166" fontId="4" fillId="0" borderId="0" xfId="0" applyNumberFormat="1" applyFont="1" applyFill="1" applyBorder="1" applyAlignment="1">
      <alignment horizontal="left" wrapText="1"/>
    </xf>
    <xf numFmtId="165" fontId="0" fillId="0" borderId="0" xfId="0" applyNumberFormat="1" applyBorder="1" applyAlignment="1">
      <alignment wrapText="1"/>
    </xf>
    <xf numFmtId="167" fontId="0" fillId="0" borderId="0" xfId="0" applyNumberFormat="1" applyBorder="1" applyAlignment="1">
      <alignment wrapText="1"/>
    </xf>
    <xf numFmtId="164" fontId="9" fillId="0" borderId="0" xfId="0" applyFont="1" applyAlignment="1">
      <alignment/>
    </xf>
    <xf numFmtId="165" fontId="1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0"/>
  <sheetViews>
    <sheetView tabSelected="1" zoomScale="85" zoomScaleNormal="85" workbookViewId="0" topLeftCell="A1">
      <selection activeCell="C26" sqref="C26"/>
    </sheetView>
  </sheetViews>
  <sheetFormatPr defaultColWidth="9.00390625" defaultRowHeight="12.75"/>
  <cols>
    <col min="1" max="1" width="7.375" style="0" customWidth="1"/>
    <col min="2" max="2" width="73.125" style="1" customWidth="1"/>
    <col min="3" max="3" width="15.125" style="2" customWidth="1"/>
    <col min="4" max="4" width="44.75390625" style="0" customWidth="1"/>
    <col min="5" max="5" width="25.375" style="0" customWidth="1"/>
    <col min="6" max="7" width="12.75390625" style="0" customWidth="1"/>
  </cols>
  <sheetData>
    <row r="1" ht="25.5">
      <c r="B1" s="3" t="s">
        <v>0</v>
      </c>
    </row>
    <row r="2" ht="12.75">
      <c r="B2" s="3" t="s">
        <v>1</v>
      </c>
    </row>
    <row r="3" ht="12.75">
      <c r="B3" s="4"/>
    </row>
    <row r="4" spans="2:3" ht="12.75">
      <c r="B4" s="3" t="s">
        <v>2</v>
      </c>
      <c r="C4" s="5"/>
    </row>
    <row r="5" spans="2:3" ht="12.75">
      <c r="B5" s="3" t="s">
        <v>3</v>
      </c>
      <c r="C5" s="5"/>
    </row>
    <row r="6" spans="1:3" ht="13.5">
      <c r="A6" s="6"/>
      <c r="B6" s="7"/>
      <c r="C6" s="8"/>
    </row>
    <row r="7" spans="1:3" ht="13.5">
      <c r="A7" s="9"/>
      <c r="B7" s="10" t="s">
        <v>4</v>
      </c>
      <c r="C7" s="11" t="s">
        <v>5</v>
      </c>
    </row>
    <row r="8" spans="1:3" ht="12.75">
      <c r="A8" s="12" t="s">
        <v>6</v>
      </c>
      <c r="B8" s="13" t="s">
        <v>7</v>
      </c>
      <c r="C8" s="14">
        <f>SUM(C9)</f>
        <v>0</v>
      </c>
    </row>
    <row r="9" spans="1:3" ht="25.5">
      <c r="A9" s="15"/>
      <c r="B9" s="16" t="s">
        <v>8</v>
      </c>
      <c r="C9" s="17"/>
    </row>
    <row r="10" spans="1:4" ht="12.75">
      <c r="A10" s="12" t="s">
        <v>9</v>
      </c>
      <c r="B10" s="13" t="s">
        <v>10</v>
      </c>
      <c r="C10" s="14">
        <f>C11-C12</f>
        <v>96697.85</v>
      </c>
      <c r="D10" s="18"/>
    </row>
    <row r="11" spans="1:4" ht="12.75">
      <c r="A11" s="15"/>
      <c r="B11" s="16" t="s">
        <v>11</v>
      </c>
      <c r="C11" s="17">
        <f>241601.04</f>
        <v>241601.04</v>
      </c>
      <c r="D11" s="8"/>
    </row>
    <row r="12" spans="1:4" ht="12.75">
      <c r="A12" s="15"/>
      <c r="B12" s="16" t="s">
        <v>12</v>
      </c>
      <c r="C12" s="17">
        <f>144903.19</f>
        <v>144903.19</v>
      </c>
      <c r="D12" s="8"/>
    </row>
    <row r="13" spans="1:4" ht="12.75">
      <c r="A13" s="12" t="s">
        <v>13</v>
      </c>
      <c r="B13" s="13" t="s">
        <v>14</v>
      </c>
      <c r="C13" s="14">
        <f>SUM(C14,C18,C19)</f>
        <v>20165603.810000002</v>
      </c>
      <c r="D13" s="18"/>
    </row>
    <row r="14" spans="1:4" ht="12.75">
      <c r="A14" s="19" t="s">
        <v>15</v>
      </c>
      <c r="B14" s="20" t="s">
        <v>16</v>
      </c>
      <c r="C14" s="14">
        <f>SUM(C15,C16,-C17)</f>
        <v>8507226.020000001</v>
      </c>
      <c r="D14" s="18"/>
    </row>
    <row r="15" spans="1:4" ht="12.75">
      <c r="A15" s="15"/>
      <c r="B15" s="21" t="s">
        <v>17</v>
      </c>
      <c r="C15" s="17">
        <f>7749825.2</f>
        <v>7749825.2</v>
      </c>
      <c r="D15" s="8"/>
    </row>
    <row r="16" spans="1:4" ht="12.75">
      <c r="A16" s="15"/>
      <c r="B16" s="21" t="s">
        <v>18</v>
      </c>
      <c r="C16" s="17">
        <f>2512205.58</f>
        <v>2512205.58</v>
      </c>
      <c r="D16" s="8"/>
    </row>
    <row r="17" spans="1:4" ht="12.75">
      <c r="A17" s="15"/>
      <c r="B17" s="16" t="s">
        <v>12</v>
      </c>
      <c r="C17" s="17">
        <f>1754804.76</f>
        <v>1754804.76</v>
      </c>
      <c r="D17" s="8"/>
    </row>
    <row r="18" spans="1:4" ht="25.5">
      <c r="A18" s="19" t="s">
        <v>19</v>
      </c>
      <c r="B18" s="20" t="s">
        <v>20</v>
      </c>
      <c r="C18" s="17">
        <f>97240-93641</f>
        <v>3599</v>
      </c>
      <c r="D18" s="8"/>
    </row>
    <row r="19" spans="1:5" ht="12.75">
      <c r="A19" s="22" t="s">
        <v>21</v>
      </c>
      <c r="B19" s="20" t="s">
        <v>22</v>
      </c>
      <c r="C19" s="14">
        <f>SUM(C20:C27)</f>
        <v>11654778.790000001</v>
      </c>
      <c r="D19" s="18"/>
      <c r="E19" s="2"/>
    </row>
    <row r="20" spans="1:7" ht="12.75">
      <c r="A20" s="15"/>
      <c r="B20" s="21" t="s">
        <v>23</v>
      </c>
      <c r="C20" s="17">
        <f>2650617.97+1754576.46+1145719.11+592669.19-2739018.31-1365462.37</f>
        <v>2039102.0500000003</v>
      </c>
      <c r="D20" s="8"/>
      <c r="F20" s="2"/>
      <c r="G20" s="2"/>
    </row>
    <row r="21" spans="1:4" ht="12.75">
      <c r="A21" s="15"/>
      <c r="B21" s="21" t="s">
        <v>24</v>
      </c>
      <c r="C21" s="17">
        <f>567593.53-120712.16</f>
        <v>446881.37</v>
      </c>
      <c r="D21" s="8"/>
    </row>
    <row r="22" spans="1:4" ht="25.5">
      <c r="A22" s="15"/>
      <c r="B22" s="21" t="s">
        <v>25</v>
      </c>
      <c r="C22" s="17">
        <f>2586890.11+5530185.6+54550-35985.98-148599.18-C23-C24</f>
        <v>5131250.259999999</v>
      </c>
      <c r="D22" s="8"/>
    </row>
    <row r="23" spans="1:4" ht="12.75">
      <c r="A23" s="15"/>
      <c r="B23" s="21" t="s">
        <v>26</v>
      </c>
      <c r="C23" s="17">
        <f>1914028.85-1883.11</f>
        <v>1912145.74</v>
      </c>
      <c r="D23" s="8"/>
    </row>
    <row r="24" spans="1:4" ht="12.75">
      <c r="A24" s="15"/>
      <c r="B24" s="21" t="s">
        <v>27</v>
      </c>
      <c r="C24" s="17">
        <f>1089645.1-146000.55</f>
        <v>943644.55</v>
      </c>
      <c r="D24" s="8"/>
    </row>
    <row r="25" spans="1:4" ht="25.5">
      <c r="A25" s="15"/>
      <c r="B25" s="21" t="s">
        <v>28</v>
      </c>
      <c r="C25" s="17">
        <f>0</f>
        <v>0</v>
      </c>
      <c r="D25" s="8"/>
    </row>
    <row r="26" spans="1:4" ht="12.75">
      <c r="A26" s="15"/>
      <c r="B26" s="21" t="s">
        <v>29</v>
      </c>
      <c r="C26" s="17"/>
      <c r="D26" s="8"/>
    </row>
    <row r="27" spans="1:4" ht="12.75">
      <c r="A27" s="15"/>
      <c r="B27" s="21" t="s">
        <v>30</v>
      </c>
      <c r="C27" s="17">
        <f>1170935.22+10819.6</f>
        <v>1181754.82</v>
      </c>
      <c r="D27" s="8"/>
    </row>
    <row r="28" spans="1:4" ht="12.75">
      <c r="A28" s="12" t="s">
        <v>31</v>
      </c>
      <c r="B28" s="13" t="s">
        <v>32</v>
      </c>
      <c r="C28" s="14">
        <f>SUM(C29)</f>
        <v>0</v>
      </c>
      <c r="D28" s="18"/>
    </row>
    <row r="29" spans="1:4" ht="12.75">
      <c r="A29" s="15"/>
      <c r="B29" s="21" t="s">
        <v>33</v>
      </c>
      <c r="C29" s="17">
        <f>0</f>
        <v>0</v>
      </c>
      <c r="D29" s="23"/>
    </row>
    <row r="30" spans="1:4" ht="12.75">
      <c r="A30" s="12" t="s">
        <v>34</v>
      </c>
      <c r="B30" s="13" t="s">
        <v>35</v>
      </c>
      <c r="C30" s="14">
        <f>SUM(C31:C33)</f>
        <v>4828028.8</v>
      </c>
      <c r="D30" s="18"/>
    </row>
    <row r="31" spans="1:4" ht="12.75">
      <c r="A31" s="15"/>
      <c r="B31" s="21" t="s">
        <v>36</v>
      </c>
      <c r="C31" s="17">
        <f>915678.62</f>
        <v>915678.62</v>
      </c>
      <c r="D31" s="8"/>
    </row>
    <row r="32" spans="1:4" ht="12.75">
      <c r="A32" s="15"/>
      <c r="B32" s="21" t="s">
        <v>37</v>
      </c>
      <c r="C32" s="17">
        <f>725005.86</f>
        <v>725005.86</v>
      </c>
      <c r="D32" s="8"/>
    </row>
    <row r="33" spans="1:4" ht="12.75">
      <c r="A33" s="15"/>
      <c r="B33" s="21" t="s">
        <v>38</v>
      </c>
      <c r="C33" s="17">
        <f>4828028.8-C31-C32</f>
        <v>3187344.32</v>
      </c>
      <c r="D33" s="8"/>
    </row>
    <row r="34" spans="1:4" ht="12.75">
      <c r="A34" s="12" t="s">
        <v>39</v>
      </c>
      <c r="B34" s="13" t="s">
        <v>40</v>
      </c>
      <c r="C34" s="14">
        <f>SUM(C35,C38)</f>
        <v>261156.70999999996</v>
      </c>
      <c r="D34" s="18"/>
    </row>
    <row r="35" spans="1:4" ht="12.75">
      <c r="A35" s="22" t="s">
        <v>41</v>
      </c>
      <c r="B35" s="20" t="s">
        <v>42</v>
      </c>
      <c r="C35" s="14">
        <f>C36-C37</f>
        <v>171511.49</v>
      </c>
      <c r="D35" s="18"/>
    </row>
    <row r="36" spans="1:4" ht="12.75">
      <c r="A36" s="15"/>
      <c r="B36" s="21" t="s">
        <v>43</v>
      </c>
      <c r="C36" s="17">
        <f>624514.62+333638.87</f>
        <v>958153.49</v>
      </c>
      <c r="D36" s="8"/>
    </row>
    <row r="37" spans="1:4" ht="12.75">
      <c r="A37" s="15"/>
      <c r="B37" s="16" t="s">
        <v>12</v>
      </c>
      <c r="C37" s="17">
        <f>562873.87+223768.13</f>
        <v>786642</v>
      </c>
      <c r="D37" s="8"/>
    </row>
    <row r="38" spans="1:4" ht="12.75">
      <c r="A38" s="22" t="s">
        <v>44</v>
      </c>
      <c r="B38" s="20" t="s">
        <v>45</v>
      </c>
      <c r="C38" s="14">
        <f>SUM(C39:C40)</f>
        <v>89645.21999999999</v>
      </c>
      <c r="D38" s="18"/>
    </row>
    <row r="39" spans="1:4" ht="12.75">
      <c r="A39" s="15"/>
      <c r="B39" s="21" t="s">
        <v>46</v>
      </c>
      <c r="C39" s="17">
        <f>9513.7</f>
        <v>9513.7</v>
      </c>
      <c r="D39" s="8"/>
    </row>
    <row r="40" spans="1:4" ht="12.75">
      <c r="A40" s="15"/>
      <c r="B40" s="21" t="s">
        <v>47</v>
      </c>
      <c r="C40" s="17">
        <f>78087.9+2043.62</f>
        <v>80131.51999999999</v>
      </c>
      <c r="D40" s="8"/>
    </row>
    <row r="41" spans="1:4" ht="12.75">
      <c r="A41" s="12" t="s">
        <v>48</v>
      </c>
      <c r="B41" s="13" t="s">
        <v>49</v>
      </c>
      <c r="C41" s="14">
        <f>SUM(C42:C43)</f>
        <v>359907.54</v>
      </c>
      <c r="D41" s="18"/>
    </row>
    <row r="42" spans="1:4" ht="12.75">
      <c r="A42" s="15"/>
      <c r="B42" s="16" t="s">
        <v>50</v>
      </c>
      <c r="C42" s="17">
        <f>225732.46</f>
        <v>225732.46</v>
      </c>
      <c r="D42" s="8"/>
    </row>
    <row r="43" spans="1:4" ht="12.75">
      <c r="A43" s="15"/>
      <c r="B43" s="21" t="s">
        <v>51</v>
      </c>
      <c r="C43" s="17">
        <f>4964.9+129210.18</f>
        <v>134175.08</v>
      </c>
      <c r="D43" s="8"/>
    </row>
    <row r="44" spans="1:4" ht="13.5">
      <c r="A44" s="24"/>
      <c r="B44" s="25" t="s">
        <v>52</v>
      </c>
      <c r="C44" s="26">
        <f>SUM(C8,C10,C13,C28,C30,C34,C41)</f>
        <v>25711394.71</v>
      </c>
      <c r="D44" s="27"/>
    </row>
    <row r="45" spans="3:4" ht="14.25">
      <c r="C45" s="28"/>
      <c r="D45" s="8"/>
    </row>
    <row r="46" spans="1:4" ht="13.5">
      <c r="A46" s="9"/>
      <c r="B46" s="29" t="s">
        <v>53</v>
      </c>
      <c r="C46" s="30"/>
      <c r="D46" s="8"/>
    </row>
    <row r="47" spans="1:4" ht="12.75">
      <c r="A47" s="12" t="s">
        <v>54</v>
      </c>
      <c r="B47" s="13" t="s">
        <v>55</v>
      </c>
      <c r="C47" s="14">
        <f>SUM(C48,C51,C52)</f>
        <v>15181016.53</v>
      </c>
      <c r="D47" s="18"/>
    </row>
    <row r="48" spans="1:4" ht="12.75">
      <c r="A48" s="22"/>
      <c r="B48" s="20" t="s">
        <v>56</v>
      </c>
      <c r="C48" s="14">
        <f>SUM(C49:C50)</f>
        <v>4472067.6</v>
      </c>
      <c r="D48" s="18"/>
    </row>
    <row r="49" spans="1:4" ht="12.75">
      <c r="A49" s="15"/>
      <c r="B49" s="21" t="s">
        <v>57</v>
      </c>
      <c r="C49" s="17">
        <f>4472067.6</f>
        <v>4472067.6</v>
      </c>
      <c r="D49" s="8"/>
    </row>
    <row r="50" spans="1:4" ht="12.75">
      <c r="A50" s="15"/>
      <c r="B50" s="21" t="s">
        <v>58</v>
      </c>
      <c r="C50" s="17"/>
      <c r="D50" s="8"/>
    </row>
    <row r="51" spans="1:4" ht="12.75">
      <c r="A51" s="15"/>
      <c r="B51" s="20" t="s">
        <v>59</v>
      </c>
      <c r="C51" s="17">
        <f>3145822.49+5948131.83</f>
        <v>9093954.32</v>
      </c>
      <c r="D51" s="8"/>
    </row>
    <row r="52" spans="1:4" ht="12.75">
      <c r="A52" s="15"/>
      <c r="B52" s="20" t="s">
        <v>60</v>
      </c>
      <c r="C52" s="17">
        <f>875926.86+739067.75</f>
        <v>1614994.6099999999</v>
      </c>
      <c r="D52" s="8"/>
    </row>
    <row r="53" spans="1:4" ht="12.75">
      <c r="A53" s="31" t="s">
        <v>13</v>
      </c>
      <c r="B53" s="13" t="s">
        <v>61</v>
      </c>
      <c r="C53" s="14">
        <f>SUM(C54,C57,C60)</f>
        <v>7867963.09</v>
      </c>
      <c r="D53" s="18"/>
    </row>
    <row r="54" spans="1:4" ht="12.75">
      <c r="A54" s="15"/>
      <c r="B54" s="20" t="s">
        <v>62</v>
      </c>
      <c r="C54" s="14">
        <f>SUM(C55:C56)</f>
        <v>1888747.13</v>
      </c>
      <c r="D54" s="18"/>
    </row>
    <row r="55" spans="1:4" ht="12.75">
      <c r="A55" s="15"/>
      <c r="B55" s="21" t="s">
        <v>63</v>
      </c>
      <c r="C55" s="32">
        <f>1192314.05+691996.79+2435.88</f>
        <v>1886746.72</v>
      </c>
      <c r="D55" s="8"/>
    </row>
    <row r="56" spans="1:4" ht="12.75">
      <c r="A56" s="15"/>
      <c r="B56" s="21" t="s">
        <v>64</v>
      </c>
      <c r="C56" s="32">
        <f>2000.41</f>
        <v>2000.41</v>
      </c>
      <c r="D56" s="8"/>
    </row>
    <row r="57" spans="1:4" ht="12.75">
      <c r="A57" s="15"/>
      <c r="B57" s="20" t="s">
        <v>65</v>
      </c>
      <c r="C57" s="14">
        <f>SUM(C58:C59)</f>
        <v>2806378.64</v>
      </c>
      <c r="D57" s="8"/>
    </row>
    <row r="58" spans="1:4" ht="12.75">
      <c r="A58" s="15"/>
      <c r="B58" s="21" t="s">
        <v>66</v>
      </c>
      <c r="C58" s="32">
        <f>291073.55+224804.93</f>
        <v>515878.48</v>
      </c>
      <c r="D58" s="8"/>
    </row>
    <row r="59" spans="1:4" ht="12.75">
      <c r="A59" s="15"/>
      <c r="B59" s="21" t="s">
        <v>64</v>
      </c>
      <c r="C59" s="32">
        <f>959773.53+1330726.63</f>
        <v>2290500.16</v>
      </c>
      <c r="D59" s="8"/>
    </row>
    <row r="60" spans="1:4" ht="12.75">
      <c r="A60" s="15"/>
      <c r="B60" s="20" t="s">
        <v>67</v>
      </c>
      <c r="C60" s="14">
        <f>SUM(C61:C62)</f>
        <v>3172837.32</v>
      </c>
      <c r="D60" s="33"/>
    </row>
    <row r="61" spans="1:4" ht="12.75">
      <c r="A61" s="15"/>
      <c r="B61" s="21" t="s">
        <v>68</v>
      </c>
      <c r="C61" s="32">
        <f>460356.19+1342339.4</f>
        <v>1802695.5899999999</v>
      </c>
      <c r="D61" s="8"/>
    </row>
    <row r="62" spans="1:4" ht="12.75">
      <c r="A62" s="15"/>
      <c r="B62" s="21" t="s">
        <v>64</v>
      </c>
      <c r="C62" s="32">
        <f>306904.13+1063237.6</f>
        <v>1370141.73</v>
      </c>
      <c r="D62" s="8"/>
    </row>
    <row r="63" spans="1:4" ht="27.75" customHeight="1">
      <c r="A63" s="15" t="s">
        <v>31</v>
      </c>
      <c r="B63" s="21" t="s">
        <v>69</v>
      </c>
      <c r="C63" s="32">
        <f>0</f>
        <v>0</v>
      </c>
      <c r="D63" s="8"/>
    </row>
    <row r="64" spans="1:4" ht="12.75">
      <c r="A64" s="15" t="s">
        <v>70</v>
      </c>
      <c r="B64" s="21" t="s">
        <v>71</v>
      </c>
      <c r="C64" s="32">
        <f>183779.74</f>
        <v>183779.74</v>
      </c>
      <c r="D64" s="8"/>
    </row>
    <row r="65" spans="1:4" ht="12.75">
      <c r="A65" s="34" t="s">
        <v>48</v>
      </c>
      <c r="B65" s="13" t="s">
        <v>72</v>
      </c>
      <c r="C65" s="14">
        <f>SUM(C66:C75)</f>
        <v>2461729.92</v>
      </c>
      <c r="D65" s="18"/>
    </row>
    <row r="66" spans="1:4" ht="12.75">
      <c r="A66" s="15"/>
      <c r="B66" s="21" t="s">
        <v>73</v>
      </c>
      <c r="C66" s="32">
        <f>380404.18</f>
        <v>380404.18</v>
      </c>
      <c r="D66" s="8"/>
    </row>
    <row r="67" spans="1:4" ht="12.75">
      <c r="A67" s="15"/>
      <c r="B67" s="21" t="s">
        <v>74</v>
      </c>
      <c r="C67" s="17">
        <f>178747.62</f>
        <v>178747.62</v>
      </c>
      <c r="D67" s="8"/>
    </row>
    <row r="68" spans="1:4" ht="25.5">
      <c r="A68" s="15"/>
      <c r="B68" s="21" t="s">
        <v>75</v>
      </c>
      <c r="C68" s="17">
        <f>179486.84</f>
        <v>179486.84</v>
      </c>
      <c r="D68" s="8"/>
    </row>
    <row r="69" spans="1:4" ht="12.75">
      <c r="A69" s="15"/>
      <c r="B69" s="21" t="s">
        <v>76</v>
      </c>
      <c r="C69" s="17"/>
      <c r="D69" s="8"/>
    </row>
    <row r="70" spans="1:4" ht="12.75">
      <c r="A70" s="15"/>
      <c r="B70" s="21" t="s">
        <v>77</v>
      </c>
      <c r="C70" s="17"/>
      <c r="D70" s="8"/>
    </row>
    <row r="71" spans="1:4" ht="12.75">
      <c r="A71" s="15"/>
      <c r="B71" s="21" t="s">
        <v>78</v>
      </c>
      <c r="C71" s="17">
        <f>0</f>
        <v>0</v>
      </c>
      <c r="D71" s="8"/>
    </row>
    <row r="72" spans="1:4" ht="12.75">
      <c r="A72" s="15"/>
      <c r="B72" s="21" t="s">
        <v>79</v>
      </c>
      <c r="C72" s="17">
        <f>315959.5</f>
        <v>315959.5</v>
      </c>
      <c r="D72" s="8"/>
    </row>
    <row r="73" spans="1:4" ht="12.75">
      <c r="A73" s="15"/>
      <c r="B73" s="21" t="s">
        <v>80</v>
      </c>
      <c r="C73" s="17">
        <f>94195.65</f>
        <v>94195.65</v>
      </c>
      <c r="D73" s="8"/>
    </row>
    <row r="74" spans="1:4" ht="12.75">
      <c r="A74" s="15"/>
      <c r="B74" s="21" t="s">
        <v>81</v>
      </c>
      <c r="C74" s="17">
        <f>0</f>
        <v>0</v>
      </c>
      <c r="D74" s="8"/>
    </row>
    <row r="75" spans="1:4" ht="12.75">
      <c r="A75" s="15"/>
      <c r="B75" s="21" t="s">
        <v>82</v>
      </c>
      <c r="C75" s="17">
        <f>650748.01+36960.44+222869.29+402358.39</f>
        <v>1312936.13</v>
      </c>
      <c r="D75" s="8"/>
    </row>
    <row r="76" spans="1:4" ht="12.75">
      <c r="A76" s="15"/>
      <c r="B76" s="13" t="s">
        <v>83</v>
      </c>
      <c r="C76" s="14">
        <f>SUM(C77)</f>
        <v>16905.43</v>
      </c>
      <c r="D76" s="18"/>
    </row>
    <row r="77" spans="1:4" ht="12.75">
      <c r="A77" s="15"/>
      <c r="B77" s="21" t="s">
        <v>84</v>
      </c>
      <c r="C77" s="17">
        <f>16905.43</f>
        <v>16905.43</v>
      </c>
      <c r="D77" s="8"/>
    </row>
    <row r="78" spans="1:4" ht="13.5">
      <c r="A78" s="24"/>
      <c r="B78" s="25" t="s">
        <v>85</v>
      </c>
      <c r="C78" s="26">
        <f>SUM(C47,C53,C63,C64,C65,C76)</f>
        <v>25711394.71</v>
      </c>
      <c r="D78" s="27"/>
    </row>
    <row r="79" spans="3:4" ht="13.5">
      <c r="C79" s="28"/>
      <c r="D79" s="8"/>
    </row>
    <row r="80" spans="2:4" ht="12.75">
      <c r="B80" s="3" t="s">
        <v>86</v>
      </c>
      <c r="C80" s="8"/>
      <c r="D80" s="8"/>
    </row>
    <row r="81" spans="3:4" ht="13.5">
      <c r="C81" s="35"/>
      <c r="D81" s="8"/>
    </row>
    <row r="82" spans="1:4" ht="13.5">
      <c r="A82" s="9"/>
      <c r="B82" s="36" t="s">
        <v>87</v>
      </c>
      <c r="C82" s="37">
        <f>C121</f>
        <v>289625.6899999995</v>
      </c>
      <c r="D82" s="38"/>
    </row>
    <row r="83" spans="1:4" ht="12.75">
      <c r="A83" s="15"/>
      <c r="B83" s="20" t="s">
        <v>88</v>
      </c>
      <c r="C83" s="39">
        <f>C151</f>
        <v>1566381.03</v>
      </c>
      <c r="D83" s="38"/>
    </row>
    <row r="84" spans="1:4" ht="25.5">
      <c r="A84" s="15"/>
      <c r="B84" s="20" t="s">
        <v>89</v>
      </c>
      <c r="C84" s="39">
        <f>C181</f>
        <v>1461076.9200000002</v>
      </c>
      <c r="D84" s="38"/>
    </row>
    <row r="85" spans="1:4" ht="12.75">
      <c r="A85" s="15"/>
      <c r="B85" s="20" t="s">
        <v>90</v>
      </c>
      <c r="C85" s="39">
        <f>SUM(C82:C84)</f>
        <v>3317083.6399999997</v>
      </c>
      <c r="D85" s="38"/>
    </row>
    <row r="86" spans="1:4" ht="12.75">
      <c r="A86" s="15"/>
      <c r="B86" s="21" t="s">
        <v>91</v>
      </c>
      <c r="C86" s="17"/>
      <c r="D86" s="8"/>
    </row>
    <row r="87" spans="1:4" ht="12.75">
      <c r="A87" s="15"/>
      <c r="B87" s="40" t="s">
        <v>92</v>
      </c>
      <c r="C87" s="17">
        <f>(1075923.79)+(1334545.84+15832.21-520.83-675982.58)+(124800.9-106188.42)+(516171.95-0)+(45681.82+0)+147882.41+23888.71+10272.73-70677.75</f>
        <v>2441630.7800000003</v>
      </c>
      <c r="D87" s="8"/>
    </row>
    <row r="88" spans="1:4" ht="13.5">
      <c r="A88" s="24"/>
      <c r="B88" s="25" t="s">
        <v>93</v>
      </c>
      <c r="C88" s="41">
        <f>C85-SUM(C87:C87)</f>
        <v>875452.8599999994</v>
      </c>
      <c r="D88" s="38"/>
    </row>
    <row r="89" spans="3:4" ht="13.5">
      <c r="C89" s="8"/>
      <c r="D89" s="6"/>
    </row>
    <row r="90" spans="3:4" ht="12.75">
      <c r="C90" s="8"/>
      <c r="D90" s="8"/>
    </row>
    <row r="91" spans="2:4" ht="12.75">
      <c r="B91" s="3" t="s">
        <v>94</v>
      </c>
      <c r="C91" s="8"/>
      <c r="D91" s="6"/>
    </row>
    <row r="92" spans="2:4" ht="13.5">
      <c r="B92" s="3"/>
      <c r="C92" s="35"/>
      <c r="D92" s="6"/>
    </row>
    <row r="93" spans="1:4" ht="13.5">
      <c r="A93" s="9"/>
      <c r="B93" s="42" t="s">
        <v>95</v>
      </c>
      <c r="C93" s="30"/>
      <c r="D93" s="8"/>
    </row>
    <row r="94" spans="1:4" ht="12.75">
      <c r="A94" s="15"/>
      <c r="B94" s="43" t="s">
        <v>96</v>
      </c>
      <c r="C94" s="17"/>
      <c r="D94" s="6"/>
    </row>
    <row r="95" spans="1:4" ht="12.75">
      <c r="A95" s="15"/>
      <c r="B95" s="44" t="s">
        <v>97</v>
      </c>
      <c r="C95" s="45">
        <f>SUM(C96,-C97,C98,-C99,C100,-C102,C103)</f>
        <v>1470255.2699999996</v>
      </c>
      <c r="D95" s="8"/>
    </row>
    <row r="96" spans="1:4" ht="12.75">
      <c r="A96" s="15"/>
      <c r="B96" s="21" t="s">
        <v>98</v>
      </c>
      <c r="C96" s="17">
        <f>63042.93</f>
        <v>63042.93</v>
      </c>
      <c r="D96" s="6"/>
    </row>
    <row r="97" spans="1:4" ht="12.75">
      <c r="A97" s="15"/>
      <c r="B97" s="21" t="s">
        <v>99</v>
      </c>
      <c r="C97" s="17">
        <f>11091.16</f>
        <v>11091.16</v>
      </c>
      <c r="D97" s="6"/>
    </row>
    <row r="98" spans="1:4" ht="12.75">
      <c r="A98" s="15"/>
      <c r="B98" s="21" t="s">
        <v>100</v>
      </c>
      <c r="C98" s="17">
        <f>169546.42+4033.71+171.21+2415094.78</f>
        <v>2588846.1199999996</v>
      </c>
      <c r="D98" s="6"/>
    </row>
    <row r="99" spans="1:9" ht="12.75">
      <c r="A99" s="15"/>
      <c r="B99" s="21" t="s">
        <v>101</v>
      </c>
      <c r="C99" s="17">
        <f>86.82+1726.68+135.07</f>
        <v>1948.57</v>
      </c>
      <c r="D99" s="23"/>
      <c r="E99" s="46"/>
      <c r="F99" s="46"/>
      <c r="G99" s="46"/>
      <c r="H99" s="46"/>
      <c r="I99" s="46"/>
    </row>
    <row r="100" spans="1:9" ht="12.75">
      <c r="A100" s="15"/>
      <c r="B100" s="21" t="s">
        <v>102</v>
      </c>
      <c r="C100" s="17">
        <f>23720</f>
        <v>23720</v>
      </c>
      <c r="D100" s="47"/>
      <c r="E100" s="46"/>
      <c r="F100" s="46"/>
      <c r="G100" s="46"/>
      <c r="H100" s="46"/>
      <c r="I100" s="46"/>
    </row>
    <row r="101" spans="1:9" ht="12.75">
      <c r="A101" s="15"/>
      <c r="B101" s="21" t="s">
        <v>91</v>
      </c>
      <c r="C101" s="17"/>
      <c r="D101" s="47"/>
      <c r="E101" s="46"/>
      <c r="F101" s="46"/>
      <c r="G101" s="46"/>
      <c r="H101" s="46"/>
      <c r="I101" s="46"/>
    </row>
    <row r="102" spans="1:9" ht="12.75">
      <c r="A102" s="15"/>
      <c r="B102" s="21" t="s">
        <v>103</v>
      </c>
      <c r="C102" s="17">
        <f>1194314.46</f>
        <v>1194314.46</v>
      </c>
      <c r="D102" s="48"/>
      <c r="E102" s="46"/>
      <c r="F102" s="46"/>
      <c r="G102" s="46"/>
      <c r="H102" s="46"/>
      <c r="I102" s="46"/>
    </row>
    <row r="103" spans="1:9" ht="12.75">
      <c r="A103" s="15"/>
      <c r="B103" s="21" t="s">
        <v>101</v>
      </c>
      <c r="C103" s="17">
        <f>2000.41</f>
        <v>2000.41</v>
      </c>
      <c r="D103" s="23"/>
      <c r="E103" s="46"/>
      <c r="F103" s="46"/>
      <c r="G103" s="46"/>
      <c r="H103" s="46"/>
      <c r="I103" s="46"/>
    </row>
    <row r="104" spans="1:9" ht="12.75">
      <c r="A104" s="15"/>
      <c r="B104" s="21" t="s">
        <v>104</v>
      </c>
      <c r="C104" s="17">
        <f>298103.81</f>
        <v>298103.81</v>
      </c>
      <c r="D104" s="23"/>
      <c r="E104" s="46"/>
      <c r="F104" s="46"/>
      <c r="G104" s="46"/>
      <c r="H104" s="46"/>
      <c r="I104" s="46"/>
    </row>
    <row r="105" spans="1:9" ht="12.75">
      <c r="A105" s="15"/>
      <c r="B105" s="13" t="s">
        <v>105</v>
      </c>
      <c r="C105" s="45">
        <f>SUM(C95,C104)</f>
        <v>1768359.0799999996</v>
      </c>
      <c r="D105" s="23"/>
      <c r="E105" s="46"/>
      <c r="F105" s="46"/>
      <c r="G105" s="46"/>
      <c r="H105" s="46"/>
      <c r="I105" s="46"/>
    </row>
    <row r="106" spans="1:9" ht="12.75">
      <c r="A106" s="15"/>
      <c r="B106" s="43" t="s">
        <v>106</v>
      </c>
      <c r="C106" s="49"/>
      <c r="D106" s="47"/>
      <c r="E106" s="46"/>
      <c r="F106" s="46"/>
      <c r="G106" s="46"/>
      <c r="H106" s="46"/>
      <c r="I106" s="46"/>
    </row>
    <row r="107" spans="1:9" ht="12.75">
      <c r="A107" s="15"/>
      <c r="B107" s="20" t="s">
        <v>107</v>
      </c>
      <c r="C107" s="45">
        <f>SUM(C108,-C109,C110,-C111,C112,-C113,-C115,+C116,-C117,+C118)</f>
        <v>1477307.57</v>
      </c>
      <c r="D107" s="23"/>
      <c r="E107" s="46"/>
      <c r="F107" s="46"/>
      <c r="G107" s="46"/>
      <c r="H107" s="46"/>
      <c r="I107" s="46"/>
    </row>
    <row r="108" spans="1:9" ht="12.75">
      <c r="A108" s="15"/>
      <c r="B108" s="21" t="s">
        <v>108</v>
      </c>
      <c r="C108" s="17">
        <f>789516.35</f>
        <v>789516.35</v>
      </c>
      <c r="D108" s="23"/>
      <c r="E108" s="46"/>
      <c r="F108" s="46"/>
      <c r="G108" s="46"/>
      <c r="H108" s="46"/>
      <c r="I108" s="46"/>
    </row>
    <row r="109" spans="1:9" ht="12.75">
      <c r="A109" s="15"/>
      <c r="B109" s="21" t="s">
        <v>101</v>
      </c>
      <c r="C109" s="17">
        <f>0</f>
        <v>0</v>
      </c>
      <c r="D109" s="23"/>
      <c r="E109" s="23"/>
      <c r="F109" s="23"/>
      <c r="G109" s="46"/>
      <c r="H109" s="46"/>
      <c r="I109" s="46"/>
    </row>
    <row r="110" spans="1:9" ht="12.75">
      <c r="A110" s="15"/>
      <c r="B110" s="21" t="s">
        <v>109</v>
      </c>
      <c r="C110" s="17">
        <f>691996.79</f>
        <v>691996.79</v>
      </c>
      <c r="D110" s="47"/>
      <c r="E110" s="46"/>
      <c r="F110" s="46"/>
      <c r="G110" s="46"/>
      <c r="H110" s="46"/>
      <c r="I110" s="46"/>
    </row>
    <row r="111" spans="1:9" ht="12.75">
      <c r="A111" s="15"/>
      <c r="B111" s="21" t="s">
        <v>101</v>
      </c>
      <c r="C111" s="17">
        <f>0</f>
        <v>0</v>
      </c>
      <c r="D111" s="23"/>
      <c r="E111" s="46"/>
      <c r="F111" s="46"/>
      <c r="G111" s="46"/>
      <c r="H111" s="46"/>
      <c r="I111" s="46"/>
    </row>
    <row r="112" spans="1:9" ht="12.75">
      <c r="A112" s="15"/>
      <c r="B112" s="21" t="s">
        <v>110</v>
      </c>
      <c r="C112" s="17">
        <f>2435.88</f>
        <v>2435.88</v>
      </c>
      <c r="D112" s="47"/>
      <c r="E112" s="46"/>
      <c r="F112" s="46"/>
      <c r="G112" s="46"/>
      <c r="H112" s="46"/>
      <c r="I112" s="46"/>
    </row>
    <row r="113" spans="1:9" ht="12.75">
      <c r="A113" s="15"/>
      <c r="B113" s="21" t="s">
        <v>101</v>
      </c>
      <c r="C113" s="17">
        <v>0</v>
      </c>
      <c r="D113" s="23"/>
      <c r="E113" s="50"/>
      <c r="F113" s="46"/>
      <c r="G113" s="46"/>
      <c r="H113" s="46"/>
      <c r="I113" s="46"/>
    </row>
    <row r="114" spans="1:9" ht="12.75">
      <c r="A114" s="15"/>
      <c r="B114" s="21" t="s">
        <v>91</v>
      </c>
      <c r="C114" s="17"/>
      <c r="D114" s="47"/>
      <c r="E114" s="46"/>
      <c r="F114" s="46"/>
      <c r="G114" s="46"/>
      <c r="H114" s="46"/>
      <c r="I114" s="46"/>
    </row>
    <row r="115" spans="1:9" ht="12.75">
      <c r="A115" s="15"/>
      <c r="B115" s="21" t="s">
        <v>111</v>
      </c>
      <c r="C115" s="17">
        <f>0</f>
        <v>0</v>
      </c>
      <c r="D115" s="47"/>
      <c r="E115" s="46"/>
      <c r="F115" s="46"/>
      <c r="G115" s="46"/>
      <c r="H115" s="46"/>
      <c r="I115" s="46"/>
    </row>
    <row r="116" spans="1:9" ht="12.75">
      <c r="A116" s="15"/>
      <c r="B116" s="21" t="s">
        <v>101</v>
      </c>
      <c r="C116" s="17">
        <f>0</f>
        <v>0</v>
      </c>
      <c r="D116" s="23"/>
      <c r="E116" s="46"/>
      <c r="F116" s="46"/>
      <c r="G116" s="46"/>
      <c r="H116" s="46"/>
      <c r="I116" s="46"/>
    </row>
    <row r="117" spans="1:9" ht="12.75">
      <c r="A117" s="15"/>
      <c r="B117" s="21" t="s">
        <v>112</v>
      </c>
      <c r="C117" s="17">
        <f>6641.45</f>
        <v>6641.45</v>
      </c>
      <c r="D117" s="47"/>
      <c r="E117" s="46"/>
      <c r="F117" s="46"/>
      <c r="G117" s="46"/>
      <c r="H117" s="46"/>
      <c r="I117" s="46"/>
    </row>
    <row r="118" spans="1:9" ht="12.75">
      <c r="A118" s="15"/>
      <c r="B118" s="21" t="s">
        <v>101</v>
      </c>
      <c r="C118" s="17">
        <v>0</v>
      </c>
      <c r="D118" s="23"/>
      <c r="E118" s="50"/>
      <c r="F118" s="46"/>
      <c r="G118" s="46"/>
      <c r="H118" s="46"/>
      <c r="I118" s="46"/>
    </row>
    <row r="119" spans="1:9" ht="12.75">
      <c r="A119" s="15"/>
      <c r="B119" s="21" t="s">
        <v>113</v>
      </c>
      <c r="C119" s="17">
        <f>520.83+3988.55-2936.66-146.9</f>
        <v>1425.8200000000002</v>
      </c>
      <c r="D119" s="47"/>
      <c r="E119" s="46"/>
      <c r="F119" s="46"/>
      <c r="G119" s="46"/>
      <c r="H119" s="46"/>
      <c r="I119" s="46"/>
    </row>
    <row r="120" spans="1:9" ht="12.75">
      <c r="A120" s="15"/>
      <c r="B120" s="13" t="s">
        <v>114</v>
      </c>
      <c r="C120" s="45">
        <f>SUM(C119,C107)</f>
        <v>1478733.3900000001</v>
      </c>
      <c r="D120" s="47"/>
      <c r="E120" s="46"/>
      <c r="F120" s="46"/>
      <c r="G120" s="46"/>
      <c r="H120" s="46"/>
      <c r="I120" s="46"/>
    </row>
    <row r="121" spans="1:9" ht="13.5">
      <c r="A121" s="24"/>
      <c r="B121" s="25" t="s">
        <v>115</v>
      </c>
      <c r="C121" s="51">
        <f>C105-C120</f>
        <v>289625.6899999995</v>
      </c>
      <c r="D121" s="47"/>
      <c r="E121" s="46"/>
      <c r="F121" s="46"/>
      <c r="G121" s="46"/>
      <c r="H121" s="46"/>
      <c r="I121" s="46"/>
    </row>
    <row r="122" spans="1:9" ht="14.25">
      <c r="A122" s="52"/>
      <c r="B122" s="52"/>
      <c r="C122" s="53"/>
      <c r="D122" s="54"/>
      <c r="E122" s="46"/>
      <c r="F122" s="46"/>
      <c r="G122" s="46"/>
      <c r="H122" s="46"/>
      <c r="I122" s="46"/>
    </row>
    <row r="123" spans="1:9" ht="15.75" customHeight="1">
      <c r="A123" s="9"/>
      <c r="B123" s="42" t="s">
        <v>116</v>
      </c>
      <c r="C123" s="30"/>
      <c r="D123" s="55"/>
      <c r="E123" s="46"/>
      <c r="F123" s="46"/>
      <c r="G123" s="46"/>
      <c r="H123" s="46"/>
      <c r="I123" s="46"/>
    </row>
    <row r="124" spans="1:9" ht="12.75">
      <c r="A124" s="15"/>
      <c r="B124" s="43" t="s">
        <v>96</v>
      </c>
      <c r="C124" s="17"/>
      <c r="D124" s="55"/>
      <c r="E124" s="46"/>
      <c r="F124" s="46"/>
      <c r="G124" s="46"/>
      <c r="H124" s="46"/>
      <c r="I124" s="46"/>
    </row>
    <row r="125" spans="1:9" ht="12.75">
      <c r="A125" s="15"/>
      <c r="B125" s="44" t="s">
        <v>97</v>
      </c>
      <c r="C125" s="45">
        <f>SUM(C126,-C127,C128,-C129,C130,-C132,C133)</f>
        <v>1494768.19</v>
      </c>
      <c r="D125" s="48"/>
      <c r="E125" s="46"/>
      <c r="F125" s="46"/>
      <c r="G125" s="46"/>
      <c r="H125" s="46"/>
      <c r="I125" s="46"/>
    </row>
    <row r="126" spans="1:9" ht="12.75">
      <c r="A126" s="15"/>
      <c r="B126" s="21" t="s">
        <v>98</v>
      </c>
      <c r="C126" s="17">
        <f>(6118578.58+0)-C156-C96</f>
        <v>3750942.31</v>
      </c>
      <c r="D126" s="54"/>
      <c r="E126" s="46"/>
      <c r="F126" s="46"/>
      <c r="G126" s="46"/>
      <c r="H126" s="46"/>
      <c r="I126" s="46"/>
    </row>
    <row r="127" spans="1:9" ht="12.75">
      <c r="A127" s="15"/>
      <c r="B127" s="21" t="s">
        <v>99</v>
      </c>
      <c r="C127" s="17">
        <f>3893176.78-C97-C157</f>
        <v>2874487.3899999997</v>
      </c>
      <c r="D127" s="23"/>
      <c r="E127" s="46"/>
      <c r="F127" s="46"/>
      <c r="G127" s="46"/>
      <c r="H127" s="46"/>
      <c r="I127" s="46"/>
    </row>
    <row r="128" spans="1:9" ht="12.75">
      <c r="A128" s="15"/>
      <c r="B128" s="21" t="s">
        <v>117</v>
      </c>
      <c r="C128" s="17">
        <f>2110159.31-C158</f>
        <v>1472437.54</v>
      </c>
      <c r="D128" s="54"/>
      <c r="E128" s="46"/>
      <c r="F128" s="46"/>
      <c r="G128" s="46"/>
      <c r="H128" s="46"/>
      <c r="I128" s="46"/>
    </row>
    <row r="129" spans="1:9" ht="12.75">
      <c r="A129" s="15"/>
      <c r="B129" s="21" t="s">
        <v>101</v>
      </c>
      <c r="C129" s="17">
        <f>1310570.5-C159</f>
        <v>1027521.15</v>
      </c>
      <c r="D129" s="23"/>
      <c r="E129" s="46"/>
      <c r="F129" s="46"/>
      <c r="G129" s="46"/>
      <c r="H129" s="46"/>
      <c r="I129" s="46"/>
    </row>
    <row r="130" spans="1:9" ht="12.75">
      <c r="A130" s="15"/>
      <c r="B130" s="21" t="s">
        <v>102</v>
      </c>
      <c r="C130" s="17">
        <f>1035384.24-C160-C100</f>
        <v>464470.42999999993</v>
      </c>
      <c r="D130" s="54"/>
      <c r="E130" s="46"/>
      <c r="F130" s="46"/>
      <c r="G130" s="46"/>
      <c r="H130" s="46"/>
      <c r="I130" s="46"/>
    </row>
    <row r="131" spans="1:9" ht="12.75">
      <c r="A131" s="15"/>
      <c r="B131" s="21" t="s">
        <v>91</v>
      </c>
      <c r="C131" s="17"/>
      <c r="D131" s="54"/>
      <c r="E131" s="46"/>
      <c r="F131" s="46"/>
      <c r="G131" s="46"/>
      <c r="H131" s="46"/>
      <c r="I131" s="46"/>
    </row>
    <row r="132" spans="1:9" ht="12.75">
      <c r="A132" s="15"/>
      <c r="B132" s="21" t="s">
        <v>118</v>
      </c>
      <c r="C132" s="17">
        <f>2018107.4-C162</f>
        <v>1250847.08</v>
      </c>
      <c r="D132" s="54"/>
      <c r="E132" s="46"/>
      <c r="F132" s="46"/>
      <c r="G132" s="46"/>
      <c r="H132" s="46"/>
      <c r="I132" s="46"/>
    </row>
    <row r="133" spans="1:9" ht="12.75">
      <c r="A133" s="15"/>
      <c r="B133" s="21" t="s">
        <v>101</v>
      </c>
      <c r="C133" s="17">
        <f>1266677.66-C163</f>
        <v>959773.5299999999</v>
      </c>
      <c r="D133" s="23"/>
      <c r="E133" s="46"/>
      <c r="F133" s="46"/>
      <c r="G133" s="46"/>
      <c r="H133" s="46"/>
      <c r="I133" s="46"/>
    </row>
    <row r="134" spans="1:9" ht="12.75">
      <c r="A134" s="15"/>
      <c r="B134" s="21" t="s">
        <v>104</v>
      </c>
      <c r="C134" s="17">
        <f>377645.31</f>
        <v>377645.31</v>
      </c>
      <c r="D134" s="54"/>
      <c r="E134" s="46"/>
      <c r="F134" s="46"/>
      <c r="G134" s="46"/>
      <c r="H134" s="46"/>
      <c r="I134" s="46"/>
    </row>
    <row r="135" spans="1:9" ht="12.75">
      <c r="A135" s="15"/>
      <c r="B135" s="13" t="s">
        <v>105</v>
      </c>
      <c r="C135" s="45">
        <f>SUM(C125,C134)</f>
        <v>1872413.5</v>
      </c>
      <c r="D135" s="48"/>
      <c r="E135" s="46"/>
      <c r="F135" s="46"/>
      <c r="G135" s="46"/>
      <c r="H135" s="46"/>
      <c r="I135" s="46"/>
    </row>
    <row r="136" spans="1:9" ht="12.75">
      <c r="A136" s="15"/>
      <c r="B136" s="43" t="s">
        <v>106</v>
      </c>
      <c r="C136" s="17"/>
      <c r="D136" s="54"/>
      <c r="E136" s="46"/>
      <c r="F136" s="46"/>
      <c r="G136" s="46"/>
      <c r="H136" s="46"/>
      <c r="I136" s="46"/>
    </row>
    <row r="137" spans="1:9" ht="12.75">
      <c r="A137" s="15"/>
      <c r="B137" s="20" t="s">
        <v>107</v>
      </c>
      <c r="C137" s="45">
        <f>SUM(C138,-C139,C140,-C141,C142,-C143,-C145,C146,-C147,C148)</f>
        <v>388081.45999999996</v>
      </c>
      <c r="D137" s="48"/>
      <c r="E137" s="46"/>
      <c r="F137" s="46"/>
      <c r="G137" s="46"/>
      <c r="H137" s="46"/>
      <c r="I137" s="46"/>
    </row>
    <row r="138" spans="1:9" ht="12.75">
      <c r="A138" s="15"/>
      <c r="B138" s="21" t="s">
        <v>108</v>
      </c>
      <c r="C138" s="17">
        <f>1675099.42</f>
        <v>1675099.42</v>
      </c>
      <c r="D138" s="54"/>
      <c r="E138" s="50"/>
      <c r="F138" s="46"/>
      <c r="G138" s="46"/>
      <c r="H138" s="46"/>
      <c r="I138" s="46"/>
    </row>
    <row r="139" spans="1:9" ht="12.75">
      <c r="A139" s="15"/>
      <c r="B139" s="21" t="s">
        <v>101</v>
      </c>
      <c r="C139" s="17">
        <f>1286629.46</f>
        <v>1286629.46</v>
      </c>
      <c r="D139" s="23"/>
      <c r="E139" s="50"/>
      <c r="F139" s="23"/>
      <c r="G139" s="46"/>
      <c r="H139" s="46"/>
      <c r="I139" s="46"/>
    </row>
    <row r="140" spans="1:9" ht="12.75">
      <c r="A140" s="15"/>
      <c r="B140" s="21" t="s">
        <v>119</v>
      </c>
      <c r="C140" s="17">
        <f>1555531.56</f>
        <v>1555531.56</v>
      </c>
      <c r="D140" s="54"/>
      <c r="E140" s="50"/>
      <c r="F140" s="46"/>
      <c r="G140" s="46"/>
      <c r="H140" s="46"/>
      <c r="I140" s="46"/>
    </row>
    <row r="141" spans="1:9" ht="12.75">
      <c r="A141" s="15"/>
      <c r="B141" s="21" t="s">
        <v>101</v>
      </c>
      <c r="C141" s="17">
        <f>1330726.63</f>
        <v>1330726.63</v>
      </c>
      <c r="D141" s="23"/>
      <c r="E141" s="46"/>
      <c r="F141" s="46"/>
      <c r="G141" s="46"/>
      <c r="H141" s="46"/>
      <c r="I141" s="46"/>
    </row>
    <row r="142" spans="1:9" ht="12.75">
      <c r="A142" s="15"/>
      <c r="B142" s="21" t="s">
        <v>110</v>
      </c>
      <c r="C142" s="17">
        <f>0</f>
        <v>0</v>
      </c>
      <c r="D142" s="54"/>
      <c r="E142" s="46"/>
      <c r="F142" s="46"/>
      <c r="G142" s="46"/>
      <c r="H142" s="46"/>
      <c r="I142" s="46"/>
    </row>
    <row r="143" spans="1:9" ht="12.75">
      <c r="A143" s="15"/>
      <c r="B143" s="21" t="s">
        <v>101</v>
      </c>
      <c r="C143" s="17">
        <f>0</f>
        <v>0</v>
      </c>
      <c r="D143" s="54"/>
      <c r="E143" s="46"/>
      <c r="F143" s="46"/>
      <c r="G143" s="46"/>
      <c r="H143" s="46"/>
      <c r="I143" s="46"/>
    </row>
    <row r="144" spans="1:9" ht="12.75">
      <c r="A144" s="15"/>
      <c r="B144" s="21" t="s">
        <v>91</v>
      </c>
      <c r="C144" s="17"/>
      <c r="D144" s="54"/>
      <c r="E144" s="46"/>
      <c r="F144" s="46"/>
      <c r="G144" s="46"/>
      <c r="H144" s="46"/>
      <c r="I144" s="46"/>
    </row>
    <row r="145" spans="1:9" ht="12.75">
      <c r="A145" s="15"/>
      <c r="B145" s="21" t="s">
        <v>120</v>
      </c>
      <c r="C145" s="17">
        <f>1815590.56</f>
        <v>1815590.56</v>
      </c>
      <c r="D145" s="54"/>
      <c r="E145" s="46"/>
      <c r="F145" s="46"/>
      <c r="G145" s="46"/>
      <c r="H145" s="46"/>
      <c r="I145" s="46"/>
    </row>
    <row r="146" spans="1:9" ht="12.75">
      <c r="A146" s="15"/>
      <c r="B146" s="21" t="s">
        <v>101</v>
      </c>
      <c r="C146" s="17">
        <f>1590397.13</f>
        <v>1590397.13</v>
      </c>
      <c r="D146" s="23"/>
      <c r="E146" s="46"/>
      <c r="F146" s="46"/>
      <c r="G146" s="46"/>
      <c r="H146" s="46"/>
      <c r="I146" s="46"/>
    </row>
    <row r="147" spans="1:9" ht="12.75">
      <c r="A147" s="15"/>
      <c r="B147" s="21" t="s">
        <v>121</v>
      </c>
      <c r="C147" s="17">
        <f>0</f>
        <v>0</v>
      </c>
      <c r="D147" s="54"/>
      <c r="E147" s="46"/>
      <c r="F147" s="46"/>
      <c r="G147" s="46"/>
      <c r="H147" s="46"/>
      <c r="I147" s="46"/>
    </row>
    <row r="148" spans="1:9" ht="12.75">
      <c r="A148" s="15"/>
      <c r="B148" s="21" t="s">
        <v>101</v>
      </c>
      <c r="C148" s="17">
        <f>0</f>
        <v>0</v>
      </c>
      <c r="D148" s="54"/>
      <c r="E148" s="46"/>
      <c r="F148" s="46"/>
      <c r="G148" s="46"/>
      <c r="H148" s="46"/>
      <c r="I148" s="46"/>
    </row>
    <row r="149" spans="1:9" ht="25.5">
      <c r="A149" s="15"/>
      <c r="B149" s="21" t="s">
        <v>122</v>
      </c>
      <c r="C149" s="17">
        <f>478262.02-560311.01</f>
        <v>-82048.98999999999</v>
      </c>
      <c r="D149" s="54"/>
      <c r="E149" s="46"/>
      <c r="F149" s="46"/>
      <c r="G149" s="46"/>
      <c r="H149" s="46"/>
      <c r="I149" s="46"/>
    </row>
    <row r="150" spans="1:9" ht="12.75">
      <c r="A150" s="15"/>
      <c r="B150" s="13" t="s">
        <v>114</v>
      </c>
      <c r="C150" s="45">
        <f>SUM(C137,C149)</f>
        <v>306032.47</v>
      </c>
      <c r="D150" s="48"/>
      <c r="E150" s="46"/>
      <c r="F150" s="46"/>
      <c r="G150" s="46"/>
      <c r="H150" s="46"/>
      <c r="I150" s="46"/>
    </row>
    <row r="151" spans="1:9" ht="28.5" customHeight="1">
      <c r="A151" s="24"/>
      <c r="B151" s="25" t="s">
        <v>123</v>
      </c>
      <c r="C151" s="51">
        <f>C135-C150</f>
        <v>1566381.03</v>
      </c>
      <c r="D151" s="48"/>
      <c r="E151" s="46"/>
      <c r="F151" s="46"/>
      <c r="G151" s="46"/>
      <c r="H151" s="46"/>
      <c r="I151" s="46"/>
    </row>
    <row r="152" spans="2:9" ht="14.25">
      <c r="B152"/>
      <c r="C152" s="35"/>
      <c r="D152" s="54"/>
      <c r="E152" s="46"/>
      <c r="F152" s="46"/>
      <c r="G152" s="46"/>
      <c r="H152" s="46"/>
      <c r="I152" s="46"/>
    </row>
    <row r="153" spans="1:9" ht="13.5">
      <c r="A153" s="9"/>
      <c r="B153" s="42" t="s">
        <v>124</v>
      </c>
      <c r="C153" s="30"/>
      <c r="D153" s="54"/>
      <c r="E153" s="46"/>
      <c r="F153" s="46"/>
      <c r="G153" s="46"/>
      <c r="H153" s="46"/>
      <c r="I153" s="46"/>
    </row>
    <row r="154" spans="1:9" ht="12.75">
      <c r="A154" s="15"/>
      <c r="B154" s="43" t="s">
        <v>96</v>
      </c>
      <c r="C154" s="17"/>
      <c r="D154" s="54"/>
      <c r="E154" s="46"/>
      <c r="F154" s="46"/>
      <c r="G154" s="46"/>
      <c r="H154" s="46"/>
      <c r="I154" s="46"/>
    </row>
    <row r="155" spans="1:9" ht="12.75">
      <c r="A155" s="15"/>
      <c r="B155" s="44" t="s">
        <v>97</v>
      </c>
      <c r="C155" s="45">
        <f>SUM(C156,-C157,C158,-C159,C160,-C162,C163)</f>
        <v>1738505.15</v>
      </c>
      <c r="D155" s="48"/>
      <c r="E155" s="46"/>
      <c r="F155" s="46"/>
      <c r="G155" s="46"/>
      <c r="H155" s="46"/>
      <c r="I155" s="46"/>
    </row>
    <row r="156" spans="1:9" ht="12.75">
      <c r="A156" s="15"/>
      <c r="B156" s="21" t="s">
        <v>98</v>
      </c>
      <c r="C156" s="17">
        <f>2304593.34</f>
        <v>2304593.34</v>
      </c>
      <c r="D156" s="23"/>
      <c r="E156" s="56"/>
      <c r="F156" s="50"/>
      <c r="G156" s="46"/>
      <c r="H156" s="46"/>
      <c r="I156" s="46"/>
    </row>
    <row r="157" spans="1:9" ht="12.75">
      <c r="A157" s="15"/>
      <c r="B157" s="21" t="s">
        <v>99</v>
      </c>
      <c r="C157" s="17">
        <f>1007598.23</f>
        <v>1007598.23</v>
      </c>
      <c r="D157" s="23"/>
      <c r="E157" s="56"/>
      <c r="F157" s="50"/>
      <c r="G157" s="46"/>
      <c r="H157" s="46"/>
      <c r="I157" s="46"/>
    </row>
    <row r="158" spans="1:9" ht="12.75">
      <c r="A158" s="15"/>
      <c r="B158" s="21" t="s">
        <v>117</v>
      </c>
      <c r="C158" s="17">
        <f>637721.77</f>
        <v>637721.77</v>
      </c>
      <c r="D158" s="23"/>
      <c r="E158" s="46"/>
      <c r="F158" s="46"/>
      <c r="G158" s="46"/>
      <c r="H158" s="46"/>
      <c r="I158" s="46"/>
    </row>
    <row r="159" spans="1:9" ht="12.75">
      <c r="A159" s="15"/>
      <c r="B159" s="21" t="s">
        <v>101</v>
      </c>
      <c r="C159" s="17">
        <f>283049.35</f>
        <v>283049.35</v>
      </c>
      <c r="D159" s="23"/>
      <c r="E159" s="50"/>
      <c r="F159" s="46"/>
      <c r="G159" s="46"/>
      <c r="H159" s="46"/>
      <c r="I159" s="46"/>
    </row>
    <row r="160" spans="1:9" ht="12.75">
      <c r="A160" s="15"/>
      <c r="B160" s="21" t="s">
        <v>102</v>
      </c>
      <c r="C160" s="17">
        <f>547193.81</f>
        <v>547193.81</v>
      </c>
      <c r="D160" s="23"/>
      <c r="E160" s="56"/>
      <c r="F160" s="50"/>
      <c r="G160" s="46"/>
      <c r="H160" s="46"/>
      <c r="I160" s="46"/>
    </row>
    <row r="161" spans="1:9" ht="12.75">
      <c r="A161" s="15"/>
      <c r="B161" s="21" t="s">
        <v>91</v>
      </c>
      <c r="C161" s="17"/>
      <c r="D161" s="54"/>
      <c r="E161" s="46"/>
      <c r="F161" s="46"/>
      <c r="G161" s="46"/>
      <c r="H161" s="46"/>
      <c r="I161" s="46"/>
    </row>
    <row r="162" spans="1:9" ht="12.75">
      <c r="A162" s="15"/>
      <c r="B162" s="21" t="s">
        <v>125</v>
      </c>
      <c r="C162" s="17">
        <f>767260.32</f>
        <v>767260.32</v>
      </c>
      <c r="D162" s="23"/>
      <c r="E162" s="46"/>
      <c r="F162" s="46"/>
      <c r="G162" s="46"/>
      <c r="H162" s="46"/>
      <c r="I162" s="46"/>
    </row>
    <row r="163" spans="1:9" ht="12.75">
      <c r="A163" s="15"/>
      <c r="B163" s="21" t="s">
        <v>101</v>
      </c>
      <c r="C163" s="17">
        <f>306904.13</f>
        <v>306904.13</v>
      </c>
      <c r="D163" s="23"/>
      <c r="E163" s="50"/>
      <c r="F163" s="46"/>
      <c r="G163" s="50"/>
      <c r="H163" s="46"/>
      <c r="I163" s="46"/>
    </row>
    <row r="164" spans="1:9" ht="12.75">
      <c r="A164" s="15"/>
      <c r="B164" s="21" t="s">
        <v>104</v>
      </c>
      <c r="C164" s="17">
        <f>315247.49</f>
        <v>315247.49</v>
      </c>
      <c r="D164" s="23"/>
      <c r="E164" s="56"/>
      <c r="F164" s="50"/>
      <c r="G164" s="46"/>
      <c r="H164" s="46"/>
      <c r="I164" s="46"/>
    </row>
    <row r="165" spans="1:9" ht="12.75">
      <c r="A165" s="15"/>
      <c r="B165" s="13" t="s">
        <v>105</v>
      </c>
      <c r="C165" s="45">
        <f>SUM(C155,C164)</f>
        <v>2053752.64</v>
      </c>
      <c r="D165" s="48"/>
      <c r="E165" s="46"/>
      <c r="F165" s="46"/>
      <c r="G165" s="46"/>
      <c r="H165" s="46"/>
      <c r="I165" s="46"/>
    </row>
    <row r="166" spans="1:9" ht="12.75">
      <c r="A166" s="15"/>
      <c r="B166" s="43" t="s">
        <v>106</v>
      </c>
      <c r="C166" s="17"/>
      <c r="D166" s="54"/>
      <c r="E166" s="46"/>
      <c r="F166" s="46"/>
      <c r="G166" s="46"/>
      <c r="H166" s="46"/>
      <c r="I166" s="46"/>
    </row>
    <row r="167" spans="1:9" ht="12.75">
      <c r="A167" s="15"/>
      <c r="B167" s="20" t="s">
        <v>107</v>
      </c>
      <c r="C167" s="45">
        <f>SUM(C168,-C169,C170,-C171,C172,-C173,-C175,C176,-C177,C178)</f>
        <v>629052.1799999998</v>
      </c>
      <c r="D167" s="48"/>
      <c r="E167" s="46"/>
      <c r="F167" s="46"/>
      <c r="G167" s="46"/>
      <c r="H167" s="46"/>
      <c r="I167" s="46"/>
    </row>
    <row r="168" spans="1:9" ht="12.75">
      <c r="A168" s="15"/>
      <c r="B168" s="21" t="s">
        <v>108</v>
      </c>
      <c r="C168" s="17">
        <f>671236.34</f>
        <v>671236.34</v>
      </c>
      <c r="D168" s="23"/>
      <c r="E168" s="50"/>
      <c r="F168" s="50"/>
      <c r="G168" s="46"/>
      <c r="H168" s="46"/>
      <c r="I168" s="46"/>
    </row>
    <row r="169" spans="1:9" ht="12.75">
      <c r="A169" s="15"/>
      <c r="B169" s="21" t="s">
        <v>101</v>
      </c>
      <c r="C169" s="17">
        <f>231794.56</f>
        <v>231794.56</v>
      </c>
      <c r="D169" s="23"/>
      <c r="E169" s="54"/>
      <c r="F169" s="54"/>
      <c r="G169" s="50"/>
      <c r="H169" s="46"/>
      <c r="I169" s="46"/>
    </row>
    <row r="170" spans="1:9" ht="12.75">
      <c r="A170" s="15"/>
      <c r="B170" s="21" t="s">
        <v>119</v>
      </c>
      <c r="C170" s="17">
        <f>2405577</f>
        <v>2405577</v>
      </c>
      <c r="D170" s="23"/>
      <c r="E170" s="50"/>
      <c r="F170" s="50"/>
      <c r="G170" s="46"/>
      <c r="H170" s="46"/>
      <c r="I170" s="46"/>
    </row>
    <row r="171" spans="1:9" ht="12.75">
      <c r="A171" s="15"/>
      <c r="B171" s="21" t="s">
        <v>101</v>
      </c>
      <c r="C171" s="17">
        <f>1063237.6</f>
        <v>1063237.6</v>
      </c>
      <c r="D171" s="23"/>
      <c r="E171" s="50"/>
      <c r="F171" s="50"/>
      <c r="G171" s="50"/>
      <c r="H171" s="50"/>
      <c r="I171" s="46"/>
    </row>
    <row r="172" spans="1:9" ht="12.75">
      <c r="A172" s="15"/>
      <c r="B172" s="21" t="s">
        <v>126</v>
      </c>
      <c r="C172" s="17">
        <f>0</f>
        <v>0</v>
      </c>
      <c r="D172" s="23"/>
      <c r="E172" s="46"/>
      <c r="F172" s="50"/>
      <c r="G172" s="50"/>
      <c r="H172" s="46"/>
      <c r="I172" s="46"/>
    </row>
    <row r="173" spans="1:9" ht="12.75">
      <c r="A173" s="15"/>
      <c r="B173" s="21" t="s">
        <v>101</v>
      </c>
      <c r="C173" s="17">
        <f>0</f>
        <v>0</v>
      </c>
      <c r="D173" s="23"/>
      <c r="E173" s="50"/>
      <c r="F173" s="50"/>
      <c r="G173" s="50"/>
      <c r="H173" s="46"/>
      <c r="I173" s="46"/>
    </row>
    <row r="174" spans="1:9" ht="12.75">
      <c r="A174" s="15"/>
      <c r="B174" s="21" t="s">
        <v>91</v>
      </c>
      <c r="C174" s="17"/>
      <c r="D174" s="54"/>
      <c r="E174" s="46"/>
      <c r="F174" s="46"/>
      <c r="G174" s="50"/>
      <c r="H174" s="46"/>
      <c r="I174" s="46"/>
    </row>
    <row r="175" spans="1:9" ht="12.75">
      <c r="A175" s="15"/>
      <c r="B175" s="21" t="s">
        <v>111</v>
      </c>
      <c r="C175" s="17">
        <f>2107030</f>
        <v>2107030</v>
      </c>
      <c r="D175" s="23"/>
      <c r="E175" s="46"/>
      <c r="F175" s="50"/>
      <c r="G175" s="50"/>
      <c r="H175" s="50"/>
      <c r="I175" s="46"/>
    </row>
    <row r="176" spans="1:9" ht="12.75">
      <c r="A176" s="15"/>
      <c r="B176" s="21" t="s">
        <v>101</v>
      </c>
      <c r="C176" s="17">
        <f>954301</f>
        <v>954301</v>
      </c>
      <c r="D176" s="23"/>
      <c r="E176" s="50"/>
      <c r="F176" s="50"/>
      <c r="G176" s="50"/>
      <c r="H176" s="46"/>
      <c r="I176" s="46"/>
    </row>
    <row r="177" spans="1:9" ht="12.75">
      <c r="A177" s="15"/>
      <c r="B177" s="21" t="s">
        <v>112</v>
      </c>
      <c r="C177" s="17">
        <f>0</f>
        <v>0</v>
      </c>
      <c r="D177" s="23"/>
      <c r="E177" s="46"/>
      <c r="F177" s="46"/>
      <c r="G177" s="50"/>
      <c r="H177" s="46"/>
      <c r="I177" s="46"/>
    </row>
    <row r="178" spans="1:9" ht="12.75">
      <c r="A178" s="15"/>
      <c r="B178" s="21" t="s">
        <v>101</v>
      </c>
      <c r="C178" s="17">
        <f>0</f>
        <v>0</v>
      </c>
      <c r="D178" s="23"/>
      <c r="E178" s="50"/>
      <c r="F178" s="50"/>
      <c r="G178" s="50"/>
      <c r="H178" s="46"/>
      <c r="I178" s="46"/>
    </row>
    <row r="179" spans="1:9" ht="12.75">
      <c r="A179" s="15"/>
      <c r="B179" s="21" t="s">
        <v>113</v>
      </c>
      <c r="C179" s="17">
        <f>213727.36+30727.73-73938.73-206892.82</f>
        <v>-36376.46000000002</v>
      </c>
      <c r="D179" s="54"/>
      <c r="E179" s="46"/>
      <c r="F179" s="46"/>
      <c r="G179" s="46"/>
      <c r="H179" s="46"/>
      <c r="I179" s="46"/>
    </row>
    <row r="180" spans="1:9" ht="12.75">
      <c r="A180" s="15"/>
      <c r="B180" s="13" t="s">
        <v>114</v>
      </c>
      <c r="C180" s="45">
        <f>SUM(C167,C179)</f>
        <v>592675.7199999997</v>
      </c>
      <c r="D180" s="48"/>
      <c r="E180" s="46"/>
      <c r="F180" s="46"/>
      <c r="G180" s="46"/>
      <c r="H180" s="46"/>
      <c r="I180" s="46"/>
    </row>
    <row r="181" spans="1:9" ht="26.25">
      <c r="A181" s="24"/>
      <c r="B181" s="25" t="s">
        <v>127</v>
      </c>
      <c r="C181" s="51">
        <f>C165-C180</f>
        <v>1461076.9200000002</v>
      </c>
      <c r="D181" s="48"/>
      <c r="E181" s="46"/>
      <c r="F181" s="46"/>
      <c r="G181" s="46"/>
      <c r="H181" s="46"/>
      <c r="I181" s="46"/>
    </row>
    <row r="182" spans="1:4" ht="13.5">
      <c r="A182" s="6"/>
      <c r="B182" s="57"/>
      <c r="C182" s="23"/>
      <c r="D182" s="7"/>
    </row>
    <row r="183" spans="1:4" ht="12.75">
      <c r="A183" s="6"/>
      <c r="B183" s="57"/>
      <c r="C183" s="23"/>
      <c r="D183" s="58"/>
    </row>
    <row r="184" spans="1:4" ht="12.75">
      <c r="A184" s="6"/>
      <c r="B184" s="57"/>
      <c r="C184" s="23"/>
      <c r="D184" s="7"/>
    </row>
    <row r="185" spans="1:4" ht="12.75">
      <c r="A185" s="6"/>
      <c r="B185" s="57"/>
      <c r="C185" s="23"/>
      <c r="D185" s="59"/>
    </row>
    <row r="186" spans="1:4" ht="12.75">
      <c r="A186" s="6"/>
      <c r="B186" s="57"/>
      <c r="C186" s="23"/>
      <c r="D186" s="7"/>
    </row>
    <row r="187" spans="1:4" ht="12.75">
      <c r="A187" s="6"/>
      <c r="B187" s="57"/>
      <c r="C187" s="23"/>
      <c r="D187" s="7"/>
    </row>
    <row r="188" spans="1:4" ht="12.75">
      <c r="A188" s="6"/>
      <c r="B188" s="57"/>
      <c r="C188" s="23"/>
      <c r="D188" s="7"/>
    </row>
    <row r="189" spans="1:4" ht="12.75">
      <c r="A189" s="6"/>
      <c r="B189" s="57"/>
      <c r="C189" s="23"/>
      <c r="D189" s="7"/>
    </row>
    <row r="190" spans="1:4" ht="12.75">
      <c r="A190" s="6"/>
      <c r="B190" s="57"/>
      <c r="C190" s="23"/>
      <c r="D190" s="7"/>
    </row>
    <row r="191" spans="2:4" ht="12.75">
      <c r="B191"/>
      <c r="D191" s="7"/>
    </row>
    <row r="192" spans="2:4" ht="15.75">
      <c r="B192" s="60" t="s">
        <v>128</v>
      </c>
      <c r="D192" s="7"/>
    </row>
    <row r="193" spans="2:4" ht="12.75">
      <c r="B193"/>
      <c r="D193" s="7"/>
    </row>
    <row r="194" spans="2:4" ht="12.75">
      <c r="B194"/>
      <c r="D194" s="7"/>
    </row>
    <row r="195" spans="2:4" ht="12.75">
      <c r="B195"/>
      <c r="D195" s="7"/>
    </row>
    <row r="196" spans="2:4" ht="12.75">
      <c r="B196"/>
      <c r="D196" s="7"/>
    </row>
    <row r="197" spans="2:4" ht="12.75">
      <c r="B197"/>
      <c r="D197" s="7"/>
    </row>
    <row r="198" spans="2:4" ht="12.75">
      <c r="B198"/>
      <c r="D198" s="7"/>
    </row>
    <row r="199" spans="2:4" ht="12.75">
      <c r="B199"/>
      <c r="D199" s="7"/>
    </row>
    <row r="200" spans="2:4" ht="15.75">
      <c r="B200" s="60" t="s">
        <v>129</v>
      </c>
      <c r="C200" s="61"/>
      <c r="D200" s="7"/>
    </row>
    <row r="201" spans="2:4" ht="15.75">
      <c r="B201" s="60" t="s">
        <v>130</v>
      </c>
      <c r="C201" s="61"/>
      <c r="D201" s="7"/>
    </row>
    <row r="202" spans="2:4" ht="12.75">
      <c r="B202"/>
      <c r="D202" s="7"/>
    </row>
    <row r="203" spans="2:4" ht="12.75">
      <c r="B203"/>
      <c r="D203" s="7"/>
    </row>
    <row r="204" spans="2:4" ht="12.75">
      <c r="B204"/>
      <c r="D204" s="7"/>
    </row>
    <row r="205" spans="2:4" ht="12.75">
      <c r="B205"/>
      <c r="D205" s="7"/>
    </row>
    <row r="206" spans="2:4" ht="12.75">
      <c r="B206"/>
      <c r="D206" s="7"/>
    </row>
    <row r="207" spans="2:4" ht="12.75">
      <c r="B207"/>
      <c r="D207" s="7"/>
    </row>
    <row r="208" spans="2:4" ht="12.75">
      <c r="B208"/>
      <c r="D208" s="7"/>
    </row>
    <row r="209" spans="2:4" ht="12.75">
      <c r="B209"/>
      <c r="D209" s="7"/>
    </row>
    <row r="210" spans="2:4" ht="15.75">
      <c r="B210" s="60" t="s">
        <v>131</v>
      </c>
      <c r="C210" s="61"/>
      <c r="D210" s="7"/>
    </row>
    <row r="211" spans="2:4" ht="12.75">
      <c r="B211"/>
      <c r="D211" s="7"/>
    </row>
    <row r="212" spans="2:4" ht="12.75">
      <c r="B212"/>
      <c r="D212" s="7"/>
    </row>
    <row r="213" spans="2:4" ht="12.75">
      <c r="B213"/>
      <c r="D213" s="7"/>
    </row>
    <row r="214" spans="2:4" ht="12.75">
      <c r="B214"/>
      <c r="D214" s="7"/>
    </row>
    <row r="215" spans="2:4" ht="12.75">
      <c r="B215"/>
      <c r="D215" s="7"/>
    </row>
    <row r="216" spans="2:4" ht="12.75">
      <c r="B216"/>
      <c r="D216" s="7"/>
    </row>
    <row r="217" spans="2:4" ht="12.75">
      <c r="B217"/>
      <c r="D217" s="1"/>
    </row>
    <row r="218" spans="2:4" ht="15.75">
      <c r="B218" s="60" t="s">
        <v>132</v>
      </c>
      <c r="C218" s="61"/>
      <c r="D218" s="1"/>
    </row>
    <row r="219" spans="1:4" ht="15.75">
      <c r="A219" t="s">
        <v>133</v>
      </c>
      <c r="B219" s="60" t="s">
        <v>134</v>
      </c>
      <c r="C219" s="61"/>
      <c r="D219" s="1"/>
    </row>
    <row r="220" spans="1:4" ht="12.75">
      <c r="A220" s="6"/>
      <c r="B220" s="57"/>
      <c r="C220" s="23"/>
      <c r="D220" s="1"/>
    </row>
    <row r="221" ht="12.75">
      <c r="B221"/>
    </row>
    <row r="222" ht="12.75">
      <c r="B222"/>
    </row>
    <row r="223" ht="12.75">
      <c r="B223"/>
    </row>
    <row r="224" ht="12.75">
      <c r="B224"/>
    </row>
    <row r="225" ht="12.75">
      <c r="B225"/>
    </row>
    <row r="226" ht="12.75">
      <c r="B226"/>
    </row>
    <row r="227" ht="12.75">
      <c r="B227"/>
    </row>
    <row r="228" ht="12.75">
      <c r="B228"/>
    </row>
    <row r="229" ht="12.75">
      <c r="B229"/>
    </row>
    <row r="230" ht="12.75">
      <c r="B230" s="1" t="s">
        <v>135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ΣΥΝΟΠΤΙΚΕΣ ΟΙΚΟΝΟΜΙΚΕΣ ΚΑΤΑΣΤΑΣΕΙΣ</dc:title>
  <dc:subject/>
  <dc:creator>Δ/ΝΣΗ ΑΣΦΑΛ. ΕΠΙΧ. &amp; ΑΝΑΛ/ΚΗΣ</dc:creator>
  <cp:keywords/>
  <dc:description/>
  <cp:lastModifiedBy>PETERSIR</cp:lastModifiedBy>
  <cp:lastPrinted>2013-02-28T11:07:45Z</cp:lastPrinted>
  <dcterms:created xsi:type="dcterms:W3CDTF">2004-03-08T09:26:50Z</dcterms:created>
  <dcterms:modified xsi:type="dcterms:W3CDTF">2013-02-28T11:39:39Z</dcterms:modified>
  <cp:category/>
  <cp:version/>
  <cp:contentType/>
  <cp:contentStatus/>
</cp:coreProperties>
</file>